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1094548\Desktop\"/>
    </mc:Choice>
  </mc:AlternateContent>
  <bookViews>
    <workbookView xWindow="0" yWindow="0" windowWidth="28800" windowHeight="11850" tabRatio="794" firstSheet="1" activeTab="1"/>
  </bookViews>
  <sheets>
    <sheet name="Consolidated" sheetId="135" state="hidden" r:id="rId1"/>
    <sheet name="#0664 Academy Positive Learning" sheetId="57" r:id="rId2"/>
    <sheet name="#1461 Inlet Grove Comm. HS " sheetId="75" r:id="rId3"/>
    <sheet name="#1571 South Tech Charter Acad" sheetId="95" state="hidden" r:id="rId4"/>
    <sheet name="#1571 South Tech Academy" sheetId="134" r:id="rId5"/>
    <sheet name="#2521 Ed Venture " sheetId="63" r:id="rId6"/>
    <sheet name="#2531 Potentials " sheetId="85" r:id="rId7"/>
    <sheet name="#2791 The Learning Center @ Els" sheetId="92" r:id="rId8"/>
    <sheet name="#2801 Palm Beach Maritime Acad " sheetId="83" r:id="rId9"/>
    <sheet name="#2911 Western Academy" sheetId="98" r:id="rId10"/>
    <sheet name="#2941 Palm Beach School Autism " sheetId="84" r:id="rId11"/>
    <sheet name="#3083 The Learning Acad @ Els " sheetId="91" r:id="rId12"/>
    <sheet name="#3345 Gulfstream Goodwill Life " sheetId="70" r:id="rId13"/>
    <sheet name="#3381 Imagine Schools " sheetId="74" r:id="rId14"/>
    <sheet name="#3382 Glades Academy " sheetId="69" r:id="rId15"/>
    <sheet name="#3385 Bright Futures Academy " sheetId="61" r:id="rId16"/>
    <sheet name="#3386 Toussaint L'Ouverture " sheetId="97" r:id="rId17"/>
    <sheet name="#3391 Seagull Academy Ind. Liv" sheetId="94" r:id="rId18"/>
    <sheet name="#3394 Montessori Acad Early  " sheetId="81" r:id="rId19"/>
    <sheet name="#3395 Somerset Academy JFK " sheetId="76" r:id="rId20"/>
    <sheet name="#3396 G-Star of the Arts " sheetId="67" r:id="rId21"/>
    <sheet name="#3398 Everglades Preparatory " sheetId="64" r:id="rId22"/>
    <sheet name="#3400 Believers Academy " sheetId="58" r:id="rId23"/>
    <sheet name="#3401 Quantum High School " sheetId="86" r:id="rId24"/>
    <sheet name="#3413 Somerset Acad Boca East" sheetId="103" r:id="rId25"/>
    <sheet name="#3421 Worthington High School" sheetId="99" r:id="rId26"/>
    <sheet name=" #3431 Renaissance CS @ WPB" sheetId="90" r:id="rId27"/>
    <sheet name="#3441 South Tech Preparatory A " sheetId="128" r:id="rId28"/>
    <sheet name="#3924 PB Maritime Academy HS " sheetId="119" r:id="rId29"/>
    <sheet name="#3941 Ben Gamla " sheetId="59" r:id="rId30"/>
    <sheet name="#3961 Gardens Schl Tech Arts" sheetId="68" r:id="rId31"/>
    <sheet name="#3971 Palm Beach Preparatory  " sheetId="80" r:id="rId32"/>
    <sheet name="#4000 Palms West Charter School" sheetId="88" r:id="rId33"/>
    <sheet name="#4001 Renaissance CS @ Welling " sheetId="110" r:id="rId34"/>
    <sheet name="#4002 Renaissance CS @ Summit " sheetId="89" r:id="rId35"/>
    <sheet name="#4012 Somerset Canyons Middle  " sheetId="105" r:id="rId36"/>
    <sheet name="#4013 Somerset Acad Canyons HS " sheetId="100" r:id="rId37"/>
    <sheet name="#4020 Franklin Academy &quot;B&quot; " sheetId="66" r:id="rId38"/>
    <sheet name="#4030 Olympus International Aca" sheetId="130" r:id="rId39"/>
    <sheet name="#4031 Somerset Academy of Arts" sheetId="132" r:id="rId40"/>
    <sheet name="#4041 Somerset Acad Boca Middle" sheetId="104" r:id="rId41"/>
    <sheet name="#4050 Renaissance CS @ Cypress" sheetId="111" r:id="rId42"/>
    <sheet name="#4051 Renaissance CS @ Central " sheetId="106" r:id="rId43"/>
    <sheet name="#4061 Franklin Academy - PBG" sheetId="117" r:id="rId44"/>
    <sheet name="#4080 University Prep Academy" sheetId="120" r:id="rId45"/>
    <sheet name="#4081 Florida Futures Academy N" sheetId="121" r:id="rId46"/>
    <sheet name="#4090 Sprts Leadership Mgmt" sheetId="122" r:id="rId47"/>
    <sheet name="#4091 Somerset Acad Lakes" sheetId="124" r:id="rId48"/>
    <sheet name="#4100 ConnectionsEd.CenterPB" sheetId="123" r:id="rId49"/>
    <sheet name="#4102 Bridge Prep Academy" sheetId="126" r:id="rId50"/>
    <sheet name="#4103 SLAM Boca MiddleHigh" sheetId="127" r:id="rId51"/>
    <sheet name="#4111 SLAM Academy High School" sheetId="131" r:id="rId52"/>
    <sheet name="#4121 South Tech Success" sheetId="133" state="hidden" r:id="rId53"/>
  </sheets>
  <definedNames>
    <definedName name="Indirect_Cost_Plan___2015_16" localSheetId="4">#REF!</definedName>
    <definedName name="Indirect_Cost_Plan___2015_16">#REF!</definedName>
    <definedName name="_xlnm.Print_Area" localSheetId="26">' #3431 Renaissance CS @ WPB'!$B$1:$S$55</definedName>
    <definedName name="_xlnm.Print_Area" localSheetId="1">'#0664 Academy Positive Learning'!$B$1:$S$48</definedName>
    <definedName name="_xlnm.Print_Area" localSheetId="2">'#1461 Inlet Grove Comm. HS '!$B$1:$S$47</definedName>
    <definedName name="_xlnm.Print_Area" localSheetId="4">'#1571 South Tech Academy'!$B$1:$S$40</definedName>
    <definedName name="_xlnm.Print_Area" localSheetId="3">'#1571 South Tech Charter Acad'!$B$1:$S$39</definedName>
    <definedName name="_xlnm.Print_Area" localSheetId="5">'#2521 Ed Venture '!$B$1:$S$56</definedName>
    <definedName name="_xlnm.Print_Area" localSheetId="6">'#2531 Potentials '!$B$1:$S$52</definedName>
    <definedName name="_xlnm.Print_Area" localSheetId="7">'#2791 The Learning Center @ Els'!$B$1:$S$52</definedName>
    <definedName name="_xlnm.Print_Area" localSheetId="8">'#2801 Palm Beach Maritime Acad '!$B$1:$S$53</definedName>
    <definedName name="_xlnm.Print_Area" localSheetId="9">'#2911 Western Academy'!$B$1:$S$48</definedName>
    <definedName name="_xlnm.Print_Area" localSheetId="10">'#2941 Palm Beach School Autism '!$B$1:$S$52</definedName>
    <definedName name="_xlnm.Print_Area" localSheetId="11">'#3083 The Learning Acad @ Els '!$B$1:$S$50</definedName>
    <definedName name="_xlnm.Print_Area" localSheetId="12">'#3345 Gulfstream Goodwill Life '!$B$1:$S$51</definedName>
    <definedName name="_xlnm.Print_Area" localSheetId="13">'#3381 Imagine Schools '!$B$1:$S$52</definedName>
    <definedName name="_xlnm.Print_Area" localSheetId="14">'#3382 Glades Academy '!$B$1:$S$56</definedName>
    <definedName name="_xlnm.Print_Area" localSheetId="15">'#3385 Bright Futures Academy '!$B$1:$S$56</definedName>
    <definedName name="_xlnm.Print_Area" localSheetId="16">'#3386 Toussaint L''Ouverture '!$B$1:$S$48</definedName>
    <definedName name="_xlnm.Print_Area" localSheetId="17">'#3391 Seagull Academy Ind. Liv'!$B$1:$S$51</definedName>
    <definedName name="_xlnm.Print_Area" localSheetId="18">'#3394 Montessori Acad Early  '!$B$1:$S$47</definedName>
    <definedName name="_xlnm.Print_Area" localSheetId="19">'#3395 Somerset Academy JFK '!$B$1:$S$52</definedName>
    <definedName name="_xlnm.Print_Area" localSheetId="20">'#3396 G-Star of the Arts '!$B$1:$S$52</definedName>
    <definedName name="_xlnm.Print_Area" localSheetId="21">'#3398 Everglades Preparatory '!$B$1:$S$56</definedName>
    <definedName name="_xlnm.Print_Area" localSheetId="22">'#3400 Believers Academy '!$B$1:$S$52</definedName>
    <definedName name="_xlnm.Print_Area" localSheetId="23">'#3401 Quantum High School '!$B$1:$S$50</definedName>
    <definedName name="_xlnm.Print_Area" localSheetId="24">'#3413 Somerset Acad Boca East'!$B$1:$S$51</definedName>
    <definedName name="_xlnm.Print_Area" localSheetId="25">'#3421 Worthington High School'!$B$1:$S$42</definedName>
    <definedName name="_xlnm.Print_Area" localSheetId="27">'#3441 South Tech Preparatory A '!$B$1:$S$41</definedName>
    <definedName name="_xlnm.Print_Area" localSheetId="28">'#3924 PB Maritime Academy HS '!$B$1:$S$51</definedName>
    <definedName name="_xlnm.Print_Area" localSheetId="29">'#3941 Ben Gamla '!$B$1:$S$45</definedName>
    <definedName name="_xlnm.Print_Area" localSheetId="30">'#3961 Gardens Schl Tech Arts'!$B$1:$S$51</definedName>
    <definedName name="_xlnm.Print_Area" localSheetId="31">'#3971 Palm Beach Preparatory  '!$B$1:$S$50</definedName>
    <definedName name="_xlnm.Print_Area" localSheetId="32">'#4000 Palms West Charter School'!$B$1:$S$51</definedName>
    <definedName name="_xlnm.Print_Area" localSheetId="33">'#4001 Renaissance CS @ Welling '!$B$1:$S$54</definedName>
    <definedName name="_xlnm.Print_Area" localSheetId="34">'#4002 Renaissance CS @ Summit '!$B$39:$S$41</definedName>
    <definedName name="_xlnm.Print_Area" localSheetId="35">'#4012 Somerset Canyons Middle  '!$B$1:$S$49</definedName>
    <definedName name="_xlnm.Print_Area" localSheetId="36">'#4013 Somerset Acad Canyons HS '!$B$1:$S$45</definedName>
    <definedName name="_xlnm.Print_Area" localSheetId="37">'#4020 Franklin Academy "B" '!$B$1:$S$50</definedName>
    <definedName name="_xlnm.Print_Area" localSheetId="38">'#4030 Olympus International Aca'!$B$1:$S$52</definedName>
    <definedName name="_xlnm.Print_Area" localSheetId="39">'#4031 Somerset Academy of Arts'!$B$1:$S$51</definedName>
    <definedName name="_xlnm.Print_Area" localSheetId="40">'#4041 Somerset Acad Boca Middle'!$B$1:$S$49</definedName>
    <definedName name="_xlnm.Print_Area" localSheetId="41">'#4050 Renaissance CS @ Cypress'!$B$1:$S$55</definedName>
    <definedName name="_xlnm.Print_Area" localSheetId="42">'#4051 Renaissance CS @ Central '!$B$1:$S$51</definedName>
    <definedName name="_xlnm.Print_Area" localSheetId="43">'#4061 Franklin Academy - PBG'!$B$1:$S$51</definedName>
    <definedName name="_xlnm.Print_Area" localSheetId="44">'#4080 University Prep Academy'!$B$1:$S$55</definedName>
    <definedName name="_xlnm.Print_Area" localSheetId="45">'#4081 Florida Futures Academy N'!$B$1:$S$52</definedName>
    <definedName name="_xlnm.Print_Area" localSheetId="46">'#4090 Sprts Leadership Mgmt'!$B$1:$S$52</definedName>
    <definedName name="_xlnm.Print_Area" localSheetId="47">'#4091 Somerset Acad Lakes'!$B$1:$S$58</definedName>
    <definedName name="_xlnm.Print_Area" localSheetId="48">'#4100 ConnectionsEd.CenterPB'!$B$1:$S$56</definedName>
    <definedName name="_xlnm.Print_Area" localSheetId="49">'#4102 Bridge Prep Academy'!$B$1:$S$53</definedName>
    <definedName name="_xlnm.Print_Area" localSheetId="50">'#4103 SLAM Boca MiddleHigh'!$B$1:$S$55</definedName>
    <definedName name="_xlnm.Print_Area" localSheetId="51">'#4111 SLAM Academy High School'!$B$1:$S$55</definedName>
    <definedName name="_xlnm.Print_Area" localSheetId="52">'#4121 South Tech Success'!$B$1:$S$39</definedName>
  </definedNames>
  <calcPr calcId="162913"/>
</workbook>
</file>

<file path=xl/calcChain.xml><?xml version="1.0" encoding="utf-8"?>
<calcChain xmlns="http://schemas.openxmlformats.org/spreadsheetml/2006/main">
  <c r="S50" i="104" l="1"/>
  <c r="Q7" i="64" l="1"/>
  <c r="S50" i="127"/>
  <c r="S50" i="126"/>
  <c r="S50" i="123"/>
  <c r="S50" i="124"/>
  <c r="S50" i="122"/>
  <c r="S50" i="121"/>
  <c r="S50" i="120"/>
  <c r="S50" i="106"/>
  <c r="S50" i="111"/>
  <c r="S50" i="132"/>
  <c r="S50" i="66"/>
  <c r="S50" i="100"/>
  <c r="S50" i="105"/>
  <c r="S50" i="89"/>
  <c r="S50" i="110"/>
  <c r="S50" i="88"/>
  <c r="S50" i="80"/>
  <c r="S50" i="68"/>
  <c r="S50" i="59"/>
  <c r="S50" i="119"/>
  <c r="S50" i="128"/>
  <c r="S50" i="90"/>
  <c r="S50" i="103"/>
  <c r="S50" i="86"/>
  <c r="S50" i="58"/>
  <c r="S50" i="67"/>
  <c r="S50" i="76"/>
  <c r="S50" i="81"/>
  <c r="S50" i="94"/>
  <c r="S50" i="97"/>
  <c r="S50" i="61"/>
  <c r="S50" i="69"/>
  <c r="S50" i="74"/>
  <c r="S50" i="70"/>
  <c r="S50" i="91"/>
  <c r="S50" i="84"/>
  <c r="S50" i="98"/>
  <c r="S50" i="83"/>
  <c r="S50" i="92"/>
  <c r="S50" i="85"/>
  <c r="S17" i="85"/>
  <c r="S50" i="131" l="1"/>
  <c r="S50" i="63"/>
  <c r="S50" i="134"/>
  <c r="S50" i="75"/>
  <c r="S50" i="57"/>
  <c r="Q7" i="124" l="1"/>
  <c r="Q7" i="122"/>
  <c r="Q7" i="131" l="1"/>
  <c r="Q7" i="120"/>
  <c r="Q7" i="80"/>
  <c r="Q7" i="90"/>
  <c r="Q7" i="76"/>
  <c r="Q7" i="61"/>
  <c r="Q7" i="69"/>
  <c r="Q7" i="83"/>
  <c r="Q7" i="111" l="1"/>
  <c r="Q7" i="89"/>
  <c r="Q7" i="110"/>
  <c r="Q7" i="119"/>
  <c r="Q7" i="81"/>
  <c r="Q7" i="75"/>
  <c r="Q7" i="106" l="1"/>
  <c r="Q7" i="123" l="1"/>
  <c r="Q12" i="111"/>
  <c r="N12" i="111"/>
  <c r="N8" i="111"/>
  <c r="Q8" i="111"/>
  <c r="Q7" i="98"/>
  <c r="Q7" i="63"/>
  <c r="H10" i="59" l="1"/>
  <c r="G10" i="59"/>
  <c r="Q7" i="94" l="1"/>
  <c r="S8" i="57"/>
  <c r="O8" i="57"/>
  <c r="H8" i="57"/>
  <c r="G8" i="57"/>
  <c r="Q7" i="121" l="1"/>
  <c r="Q8" i="119"/>
  <c r="L8" i="86"/>
  <c r="K8" i="86"/>
  <c r="J8" i="86"/>
  <c r="I8" i="86"/>
  <c r="H8" i="86"/>
  <c r="G8" i="86"/>
  <c r="Q7" i="57"/>
  <c r="Q14" i="121" l="1"/>
  <c r="O8" i="94" l="1"/>
  <c r="L8" i="94"/>
  <c r="K8" i="94"/>
  <c r="J8" i="94"/>
  <c r="I8" i="94"/>
  <c r="H8" i="94"/>
  <c r="G8" i="94"/>
  <c r="Q10" i="131" l="1"/>
  <c r="N10" i="131"/>
  <c r="N8" i="81"/>
  <c r="N8" i="84"/>
  <c r="Q8" i="84"/>
  <c r="Q15" i="69"/>
  <c r="Q11" i="119" l="1"/>
  <c r="Q11" i="83"/>
  <c r="Q11" i="110" l="1"/>
  <c r="N11" i="110"/>
  <c r="Q8" i="127" l="1"/>
  <c r="N8" i="127"/>
  <c r="Q7" i="103"/>
  <c r="Q8" i="81"/>
  <c r="L8" i="97"/>
  <c r="K8" i="97"/>
  <c r="J8" i="97"/>
  <c r="I8" i="97"/>
  <c r="H8" i="97"/>
  <c r="G8" i="97"/>
  <c r="Q11" i="69" l="1"/>
  <c r="Q19" i="69"/>
  <c r="Q12" i="69"/>
  <c r="Q13" i="63" l="1"/>
  <c r="Q10" i="70" l="1"/>
  <c r="Q8" i="85" l="1"/>
  <c r="N8" i="85"/>
  <c r="H8" i="59" l="1"/>
  <c r="G8" i="59"/>
  <c r="S8" i="88" l="1"/>
  <c r="O8" i="88"/>
  <c r="H8" i="88"/>
  <c r="G8" i="88"/>
  <c r="N7" i="70"/>
  <c r="Q7" i="70"/>
  <c r="Q9" i="90" l="1"/>
  <c r="Q14" i="75"/>
  <c r="Q8" i="64" l="1"/>
  <c r="N8" i="64"/>
  <c r="L8" i="119" l="1"/>
  <c r="K8" i="119"/>
  <c r="J8" i="119"/>
  <c r="I8" i="119"/>
  <c r="H8" i="119"/>
  <c r="G8" i="119"/>
  <c r="S10" i="134" l="1"/>
  <c r="Q7" i="59"/>
  <c r="S18" i="131" l="1"/>
  <c r="O18" i="131"/>
  <c r="S16" i="127"/>
  <c r="O16" i="127"/>
  <c r="S16" i="126"/>
  <c r="O16" i="126"/>
  <c r="S16" i="123"/>
  <c r="O16" i="123"/>
  <c r="S17" i="124"/>
  <c r="O17" i="124"/>
  <c r="S14" i="122"/>
  <c r="O14" i="122"/>
  <c r="S14" i="121"/>
  <c r="O14" i="121"/>
  <c r="S16" i="120"/>
  <c r="O16" i="120"/>
  <c r="S13" i="117"/>
  <c r="O13" i="117"/>
  <c r="S14" i="106"/>
  <c r="O14" i="106"/>
  <c r="S16" i="111"/>
  <c r="O16" i="111"/>
  <c r="S12" i="104"/>
  <c r="O12" i="104"/>
  <c r="S15" i="132"/>
  <c r="O15" i="132"/>
  <c r="S15" i="130"/>
  <c r="O15" i="130"/>
  <c r="S13" i="66"/>
  <c r="O13" i="66"/>
  <c r="S15" i="100"/>
  <c r="O15" i="100"/>
  <c r="S13" i="105"/>
  <c r="O13" i="105"/>
  <c r="S14" i="89"/>
  <c r="O14" i="89"/>
  <c r="S15" i="110"/>
  <c r="O15" i="110"/>
  <c r="S14" i="88"/>
  <c r="O14" i="88"/>
  <c r="S13" i="80"/>
  <c r="O13" i="80"/>
  <c r="S13" i="68"/>
  <c r="O13" i="68"/>
  <c r="S15" i="59"/>
  <c r="O15" i="59"/>
  <c r="S14" i="119"/>
  <c r="O14" i="119"/>
  <c r="S16" i="90"/>
  <c r="O16" i="90"/>
  <c r="S13" i="99"/>
  <c r="O13" i="99"/>
  <c r="S13" i="103"/>
  <c r="O13" i="103"/>
  <c r="S13" i="86"/>
  <c r="O13" i="86"/>
  <c r="S14" i="58"/>
  <c r="O14" i="58"/>
  <c r="S16" i="64"/>
  <c r="O16" i="64"/>
  <c r="S14" i="67"/>
  <c r="O14" i="67"/>
  <c r="S14" i="76"/>
  <c r="O14" i="76"/>
  <c r="S15" i="81"/>
  <c r="O15" i="81"/>
  <c r="S14" i="94"/>
  <c r="O14" i="94"/>
  <c r="S14" i="97"/>
  <c r="O14" i="97"/>
  <c r="S17" i="61"/>
  <c r="O17" i="61"/>
  <c r="S20" i="69"/>
  <c r="O20" i="69"/>
  <c r="S15" i="74"/>
  <c r="O15" i="74"/>
  <c r="S13" i="70"/>
  <c r="O13" i="70"/>
  <c r="S13" i="91"/>
  <c r="O13" i="91"/>
  <c r="S15" i="84"/>
  <c r="O15" i="84"/>
  <c r="S15" i="98"/>
  <c r="O15" i="98"/>
  <c r="S15" i="83"/>
  <c r="O15" i="83"/>
  <c r="S14" i="92"/>
  <c r="O14" i="92"/>
  <c r="R17" i="85"/>
  <c r="Q17" i="85"/>
  <c r="N17" i="85"/>
  <c r="M17" i="85"/>
  <c r="S15" i="85"/>
  <c r="O15" i="85"/>
  <c r="R18" i="63"/>
  <c r="Q18" i="63"/>
  <c r="N18" i="63"/>
  <c r="M18" i="63"/>
  <c r="S16" i="63"/>
  <c r="O16" i="63"/>
  <c r="O18" i="63" s="1"/>
  <c r="S18" i="75"/>
  <c r="O18" i="75"/>
  <c r="S16" i="57"/>
  <c r="O16" i="57"/>
  <c r="S17" i="132" l="1"/>
  <c r="R17" i="132"/>
  <c r="Q17" i="132"/>
  <c r="O17" i="132"/>
  <c r="N17" i="132"/>
  <c r="M17" i="132"/>
  <c r="S7" i="132"/>
  <c r="O7" i="132"/>
  <c r="Q12" i="61" l="1"/>
  <c r="S14" i="130" l="1"/>
  <c r="S13" i="130"/>
  <c r="S12" i="130"/>
  <c r="S11" i="130"/>
  <c r="S10" i="130"/>
  <c r="S8" i="130"/>
  <c r="O14" i="130"/>
  <c r="O13" i="130"/>
  <c r="O12" i="130"/>
  <c r="O11" i="130"/>
  <c r="O10" i="130"/>
  <c r="O8" i="130"/>
  <c r="Q9" i="111" l="1"/>
  <c r="S13" i="127" l="1"/>
  <c r="S10" i="70"/>
  <c r="S12" i="85"/>
  <c r="N7" i="131" l="1"/>
  <c r="S18" i="126"/>
  <c r="R18" i="126"/>
  <c r="Q18" i="126"/>
  <c r="O18" i="126"/>
  <c r="N18" i="126"/>
  <c r="M18" i="126"/>
  <c r="N7" i="124"/>
  <c r="N7" i="122"/>
  <c r="N7" i="121"/>
  <c r="N7" i="120"/>
  <c r="N7" i="106"/>
  <c r="N9" i="111"/>
  <c r="N7" i="111"/>
  <c r="N8" i="100"/>
  <c r="N7" i="89"/>
  <c r="N7" i="110"/>
  <c r="N7" i="80"/>
  <c r="R17" i="59"/>
  <c r="Q17" i="59"/>
  <c r="N17" i="59"/>
  <c r="M17" i="59"/>
  <c r="S15" i="90"/>
  <c r="S12" i="103"/>
  <c r="S13" i="58"/>
  <c r="S13" i="119"/>
  <c r="N7" i="119"/>
  <c r="S12" i="99"/>
  <c r="S12" i="86" l="1"/>
  <c r="N7" i="58"/>
  <c r="N7" i="64"/>
  <c r="N7" i="76"/>
  <c r="N7" i="81"/>
  <c r="N7" i="94" l="1"/>
  <c r="N7" i="97"/>
  <c r="N7" i="61"/>
  <c r="N7" i="69"/>
  <c r="N7" i="83"/>
  <c r="N7" i="63"/>
  <c r="S15" i="75"/>
  <c r="O15" i="75"/>
  <c r="N7" i="75"/>
  <c r="N7" i="57"/>
  <c r="Q12" i="57" l="1"/>
  <c r="S11" i="121"/>
  <c r="S19" i="69" l="1"/>
  <c r="O19" i="69"/>
  <c r="N7" i="90" l="1"/>
  <c r="Q12" i="123" l="1"/>
  <c r="S9" i="98" l="1"/>
  <c r="O9" i="98"/>
  <c r="Q9" i="66" l="1"/>
  <c r="Q9" i="117"/>
  <c r="Q8" i="63"/>
  <c r="R20" i="131" l="1"/>
  <c r="Q20" i="131"/>
  <c r="N20" i="131"/>
  <c r="M20" i="131"/>
  <c r="S17" i="131"/>
  <c r="O17" i="131"/>
  <c r="S15" i="127"/>
  <c r="O15" i="127"/>
  <c r="S15" i="126"/>
  <c r="O15" i="126"/>
  <c r="S15" i="123"/>
  <c r="O15" i="123"/>
  <c r="S16" i="124"/>
  <c r="O16" i="124"/>
  <c r="S13" i="122"/>
  <c r="O13" i="122"/>
  <c r="S13" i="121"/>
  <c r="O13" i="121"/>
  <c r="S15" i="120"/>
  <c r="O15" i="120"/>
  <c r="S12" i="117"/>
  <c r="O12" i="117"/>
  <c r="S13" i="106"/>
  <c r="O13" i="106"/>
  <c r="S15" i="111"/>
  <c r="O15" i="111"/>
  <c r="S11" i="104"/>
  <c r="O11" i="104"/>
  <c r="S14" i="132"/>
  <c r="O14" i="132"/>
  <c r="S12" i="66"/>
  <c r="O12" i="66"/>
  <c r="S14" i="100"/>
  <c r="O14" i="100"/>
  <c r="S12" i="105"/>
  <c r="O12" i="105"/>
  <c r="S13" i="89"/>
  <c r="O13" i="89"/>
  <c r="S14" i="110"/>
  <c r="O14" i="110"/>
  <c r="S13" i="88"/>
  <c r="O13" i="88"/>
  <c r="S12" i="80"/>
  <c r="O12" i="80"/>
  <c r="S12" i="68"/>
  <c r="O12" i="68"/>
  <c r="S14" i="59"/>
  <c r="O14" i="59"/>
  <c r="O13" i="119"/>
  <c r="O15" i="90"/>
  <c r="O12" i="99"/>
  <c r="O12" i="103"/>
  <c r="O12" i="86"/>
  <c r="R18" i="64"/>
  <c r="Q18" i="64"/>
  <c r="N18" i="64"/>
  <c r="M18" i="64"/>
  <c r="S15" i="64"/>
  <c r="O15" i="64"/>
  <c r="S14" i="64"/>
  <c r="O14" i="64"/>
  <c r="S13" i="67" l="1"/>
  <c r="O13" i="67"/>
  <c r="S13" i="76"/>
  <c r="O13" i="76"/>
  <c r="S14" i="81"/>
  <c r="O14" i="81"/>
  <c r="S13" i="94"/>
  <c r="O13" i="94"/>
  <c r="S13" i="97"/>
  <c r="O13" i="97"/>
  <c r="R19" i="61"/>
  <c r="Q19" i="61"/>
  <c r="N19" i="61"/>
  <c r="M19" i="61"/>
  <c r="S16" i="61"/>
  <c r="O16" i="61"/>
  <c r="S15" i="61"/>
  <c r="O15" i="61"/>
  <c r="S18" i="69"/>
  <c r="O18" i="69"/>
  <c r="S14" i="74"/>
  <c r="O14" i="74"/>
  <c r="S12" i="70"/>
  <c r="O12" i="70"/>
  <c r="S12" i="91"/>
  <c r="O12" i="91"/>
  <c r="S14" i="84"/>
  <c r="O14" i="84"/>
  <c r="S14" i="98"/>
  <c r="O14" i="98"/>
  <c r="S14" i="83"/>
  <c r="O14" i="83"/>
  <c r="S13" i="92"/>
  <c r="O13" i="92"/>
  <c r="S14" i="85"/>
  <c r="O14" i="85"/>
  <c r="S15" i="63"/>
  <c r="O15" i="63"/>
  <c r="R20" i="75"/>
  <c r="Q20" i="75"/>
  <c r="N20" i="75"/>
  <c r="M20" i="75"/>
  <c r="S17" i="75"/>
  <c r="O17" i="75"/>
  <c r="S15" i="57"/>
  <c r="O15" i="57"/>
  <c r="O13" i="58"/>
  <c r="Q11" i="58" l="1"/>
  <c r="R15" i="66" l="1"/>
  <c r="Q15" i="66"/>
  <c r="N15" i="66"/>
  <c r="M15" i="66"/>
  <c r="S7" i="66"/>
  <c r="O7" i="66"/>
  <c r="S16" i="131" l="1"/>
  <c r="O16" i="131"/>
  <c r="R18" i="127"/>
  <c r="Q18" i="127"/>
  <c r="N18" i="127"/>
  <c r="M18" i="127"/>
  <c r="S14" i="127"/>
  <c r="O14" i="127"/>
  <c r="S14" i="126"/>
  <c r="O14" i="126"/>
  <c r="S14" i="123"/>
  <c r="O14" i="123"/>
  <c r="S15" i="124"/>
  <c r="O15" i="124"/>
  <c r="S12" i="122"/>
  <c r="O12" i="122"/>
  <c r="S12" i="121"/>
  <c r="O12" i="121"/>
  <c r="S14" i="120"/>
  <c r="O14" i="120"/>
  <c r="S11" i="117"/>
  <c r="O11" i="117"/>
  <c r="S12" i="106"/>
  <c r="O12" i="106"/>
  <c r="S14" i="111"/>
  <c r="O14" i="111"/>
  <c r="S10" i="104"/>
  <c r="O10" i="104"/>
  <c r="S13" i="132"/>
  <c r="O13" i="132"/>
  <c r="S11" i="66"/>
  <c r="O11" i="66"/>
  <c r="O15" i="66" s="1"/>
  <c r="R17" i="100"/>
  <c r="Q17" i="100"/>
  <c r="N17" i="100"/>
  <c r="M17" i="100"/>
  <c r="S13" i="100"/>
  <c r="O13" i="100"/>
  <c r="S11" i="105"/>
  <c r="O11" i="105"/>
  <c r="S12" i="89"/>
  <c r="O12" i="89"/>
  <c r="S13" i="110"/>
  <c r="O13" i="110"/>
  <c r="S12" i="88"/>
  <c r="O12" i="88"/>
  <c r="S11" i="80"/>
  <c r="O11" i="80"/>
  <c r="S11" i="68"/>
  <c r="O11" i="68"/>
  <c r="S13" i="59"/>
  <c r="O13" i="59"/>
  <c r="S12" i="119"/>
  <c r="O12" i="119"/>
  <c r="S13" i="128"/>
  <c r="R13" i="128"/>
  <c r="Q13" i="128"/>
  <c r="O13" i="128"/>
  <c r="N13" i="128"/>
  <c r="M13" i="128"/>
  <c r="S11" i="128"/>
  <c r="R18" i="90"/>
  <c r="Q18" i="90"/>
  <c r="N18" i="90"/>
  <c r="M18" i="90"/>
  <c r="S14" i="90"/>
  <c r="O14" i="90"/>
  <c r="S11" i="99"/>
  <c r="O11" i="99"/>
  <c r="S11" i="103"/>
  <c r="O11" i="103"/>
  <c r="S11" i="86"/>
  <c r="O11" i="86"/>
  <c r="S12" i="58"/>
  <c r="O12" i="58"/>
  <c r="R16" i="67"/>
  <c r="Q16" i="67"/>
  <c r="N16" i="67"/>
  <c r="M16" i="67"/>
  <c r="S12" i="67"/>
  <c r="O12" i="67"/>
  <c r="O16" i="67" s="1"/>
  <c r="S12" i="76"/>
  <c r="O12" i="76"/>
  <c r="S13" i="81"/>
  <c r="O13" i="81"/>
  <c r="S12" i="94"/>
  <c r="O12" i="94"/>
  <c r="S12" i="97"/>
  <c r="O12" i="97"/>
  <c r="S17" i="69"/>
  <c r="O17" i="69"/>
  <c r="S13" i="74"/>
  <c r="O13" i="74"/>
  <c r="S11" i="70"/>
  <c r="O11" i="70"/>
  <c r="S11" i="91"/>
  <c r="O11" i="91"/>
  <c r="S13" i="84"/>
  <c r="O13" i="84"/>
  <c r="S13" i="98"/>
  <c r="O13" i="98"/>
  <c r="S13" i="83"/>
  <c r="O13" i="83"/>
  <c r="S12" i="92"/>
  <c r="O12" i="92"/>
  <c r="S13" i="85"/>
  <c r="O13" i="85"/>
  <c r="S14" i="63"/>
  <c r="O14" i="63"/>
  <c r="R12" i="134"/>
  <c r="Q12" i="134"/>
  <c r="N12" i="134"/>
  <c r="M12" i="134"/>
  <c r="S16" i="75"/>
  <c r="O16" i="75"/>
  <c r="S14" i="57"/>
  <c r="O14" i="57"/>
  <c r="Q8" i="123" l="1"/>
  <c r="N8" i="123"/>
  <c r="O8" i="111"/>
  <c r="S7" i="104"/>
  <c r="O7" i="104"/>
  <c r="S12" i="57"/>
  <c r="S13" i="126" l="1"/>
  <c r="O13" i="126"/>
  <c r="H13" i="126"/>
  <c r="G13" i="126"/>
  <c r="S13" i="123"/>
  <c r="O13" i="123"/>
  <c r="H13" i="123"/>
  <c r="G13" i="123"/>
  <c r="S14" i="124"/>
  <c r="O14" i="124"/>
  <c r="H14" i="124"/>
  <c r="G14" i="124"/>
  <c r="S13" i="120"/>
  <c r="O13" i="120"/>
  <c r="H13" i="120"/>
  <c r="G13" i="120"/>
  <c r="S10" i="117"/>
  <c r="O10" i="117"/>
  <c r="H10" i="117"/>
  <c r="G10" i="117"/>
  <c r="S11" i="106"/>
  <c r="O11" i="106"/>
  <c r="H11" i="106"/>
  <c r="G11" i="106"/>
  <c r="S13" i="111"/>
  <c r="O13" i="111"/>
  <c r="H13" i="111"/>
  <c r="G13" i="111"/>
  <c r="S12" i="132"/>
  <c r="O12" i="132"/>
  <c r="H12" i="132"/>
  <c r="G12" i="132"/>
  <c r="H12" i="130"/>
  <c r="G12" i="130"/>
  <c r="S10" i="66"/>
  <c r="O10" i="66"/>
  <c r="H10" i="66"/>
  <c r="G10" i="66"/>
  <c r="S11" i="89"/>
  <c r="O11" i="89"/>
  <c r="H11" i="89"/>
  <c r="G11" i="89"/>
  <c r="S12" i="110"/>
  <c r="O12" i="110"/>
  <c r="S11" i="88"/>
  <c r="O11" i="88"/>
  <c r="H11" i="88"/>
  <c r="G11" i="88"/>
  <c r="S10" i="68"/>
  <c r="O10" i="68"/>
  <c r="H10" i="68"/>
  <c r="G10" i="68"/>
  <c r="S12" i="59"/>
  <c r="O12" i="59"/>
  <c r="H12" i="59"/>
  <c r="G12" i="59"/>
  <c r="S13" i="90"/>
  <c r="O13" i="90"/>
  <c r="H13" i="90"/>
  <c r="G13" i="90"/>
  <c r="S10" i="103"/>
  <c r="O10" i="103"/>
  <c r="H10" i="103"/>
  <c r="G10" i="103"/>
  <c r="S11" i="76"/>
  <c r="O11" i="76"/>
  <c r="H11" i="76"/>
  <c r="G11" i="76"/>
  <c r="S12" i="81"/>
  <c r="O12" i="81"/>
  <c r="H12" i="81"/>
  <c r="G12" i="81"/>
  <c r="S14" i="61"/>
  <c r="O14" i="61"/>
  <c r="H14" i="61"/>
  <c r="G14" i="61"/>
  <c r="S16" i="69"/>
  <c r="O16" i="69"/>
  <c r="S12" i="74"/>
  <c r="O12" i="74"/>
  <c r="S12" i="84"/>
  <c r="O12" i="84"/>
  <c r="S12" i="98"/>
  <c r="O12" i="98"/>
  <c r="S12" i="83"/>
  <c r="S11" i="83"/>
  <c r="O12" i="83"/>
  <c r="S11" i="92"/>
  <c r="O11" i="92"/>
  <c r="O12" i="85"/>
  <c r="S13" i="57"/>
  <c r="O13" i="57"/>
  <c r="Q8" i="69" l="1"/>
  <c r="S13" i="124" l="1"/>
  <c r="O13" i="124"/>
  <c r="H13" i="124"/>
  <c r="G13" i="124"/>
  <c r="S12" i="124"/>
  <c r="S12" i="120"/>
  <c r="S11" i="120"/>
  <c r="O12" i="120"/>
  <c r="H12" i="120"/>
  <c r="G12" i="120"/>
  <c r="S13" i="61"/>
  <c r="S12" i="61"/>
  <c r="O13" i="61"/>
  <c r="H13" i="61"/>
  <c r="G13" i="61"/>
  <c r="O13" i="127" l="1"/>
  <c r="S10" i="90" l="1"/>
  <c r="O10" i="90"/>
  <c r="S15" i="69" l="1"/>
  <c r="S12" i="127" l="1"/>
  <c r="O12" i="127"/>
  <c r="S12" i="111"/>
  <c r="O12" i="111"/>
  <c r="H12" i="111"/>
  <c r="G12" i="111"/>
  <c r="Q8" i="98"/>
  <c r="Q14" i="69" l="1"/>
  <c r="S8" i="111" l="1"/>
  <c r="S7" i="131" l="1"/>
  <c r="Q7" i="58"/>
  <c r="G10" i="110" l="1"/>
  <c r="H10" i="110"/>
  <c r="H11" i="110" l="1"/>
  <c r="H12" i="110"/>
  <c r="G11" i="110"/>
  <c r="G12" i="110"/>
  <c r="S11" i="110"/>
  <c r="O11" i="110"/>
  <c r="N18" i="111" l="1"/>
  <c r="M18" i="111"/>
  <c r="G9" i="85" l="1"/>
  <c r="H9" i="85"/>
  <c r="I9" i="85"/>
  <c r="J9" i="85"/>
  <c r="K9" i="85"/>
  <c r="L9" i="85"/>
  <c r="O9" i="85"/>
  <c r="Q9" i="85"/>
  <c r="S9" i="85"/>
  <c r="E40" i="134"/>
  <c r="O10" i="134"/>
  <c r="H10" i="134"/>
  <c r="G10" i="134"/>
  <c r="S9" i="134"/>
  <c r="O9" i="134"/>
  <c r="S8" i="134"/>
  <c r="O8" i="134"/>
  <c r="S7" i="134"/>
  <c r="S12" i="134" s="1"/>
  <c r="O7" i="134"/>
  <c r="O12" i="134" s="1"/>
  <c r="O10" i="128"/>
  <c r="H10" i="128"/>
  <c r="G10" i="128"/>
  <c r="O10" i="70" l="1"/>
  <c r="H10" i="70"/>
  <c r="G10" i="70"/>
  <c r="O11" i="83"/>
  <c r="O11" i="121"/>
  <c r="H11" i="121"/>
  <c r="G11" i="121"/>
  <c r="H12" i="131" l="1"/>
  <c r="G12" i="131"/>
  <c r="H10" i="127"/>
  <c r="G10" i="127"/>
  <c r="H12" i="126"/>
  <c r="G12" i="126"/>
  <c r="H11" i="123"/>
  <c r="G11" i="123"/>
  <c r="H11" i="124"/>
  <c r="G11" i="124"/>
  <c r="H11" i="122"/>
  <c r="G11" i="122"/>
  <c r="H10" i="121"/>
  <c r="G10" i="121"/>
  <c r="H10" i="120"/>
  <c r="G10" i="120"/>
  <c r="H9" i="117"/>
  <c r="G9" i="117"/>
  <c r="H10" i="106"/>
  <c r="G10" i="106"/>
  <c r="H11" i="111"/>
  <c r="G11" i="111"/>
  <c r="H9" i="104"/>
  <c r="G9" i="104"/>
  <c r="H11" i="132"/>
  <c r="G11" i="132"/>
  <c r="H11" i="130"/>
  <c r="G11" i="130"/>
  <c r="H9" i="66"/>
  <c r="G9" i="66"/>
  <c r="H10" i="100"/>
  <c r="G10" i="100"/>
  <c r="H10" i="105"/>
  <c r="G10" i="105"/>
  <c r="H10" i="89"/>
  <c r="G10" i="89"/>
  <c r="H10" i="88"/>
  <c r="G10" i="88"/>
  <c r="H10" i="80"/>
  <c r="G10" i="80"/>
  <c r="H9" i="68"/>
  <c r="G9" i="68"/>
  <c r="H11" i="59"/>
  <c r="G11" i="59"/>
  <c r="H10" i="119"/>
  <c r="G10" i="119"/>
  <c r="H12" i="90"/>
  <c r="G12" i="90"/>
  <c r="H10" i="99"/>
  <c r="G10" i="99"/>
  <c r="H9" i="103"/>
  <c r="G9" i="103"/>
  <c r="H10" i="86"/>
  <c r="G10" i="86"/>
  <c r="H10" i="58"/>
  <c r="G10" i="58"/>
  <c r="H9" i="67"/>
  <c r="G9" i="67"/>
  <c r="H10" i="76"/>
  <c r="G10" i="76"/>
  <c r="H11" i="81"/>
  <c r="G11" i="81"/>
  <c r="H10" i="94"/>
  <c r="G10" i="94"/>
  <c r="H11" i="61"/>
  <c r="G11" i="61"/>
  <c r="H9" i="70"/>
  <c r="G9" i="70"/>
  <c r="H10" i="91"/>
  <c r="G10" i="91"/>
  <c r="H10" i="63"/>
  <c r="G10" i="63"/>
  <c r="H12" i="123" l="1"/>
  <c r="G12" i="123"/>
  <c r="S12" i="123"/>
  <c r="O12" i="123"/>
  <c r="O12" i="57"/>
  <c r="O11" i="120" l="1"/>
  <c r="H11" i="120"/>
  <c r="G11" i="120"/>
  <c r="H12" i="124" l="1"/>
  <c r="G12" i="124"/>
  <c r="O12" i="124"/>
  <c r="O12" i="61" l="1"/>
  <c r="O15" i="69" l="1"/>
  <c r="Q8" i="126" l="1"/>
  <c r="Q13" i="69"/>
  <c r="S11" i="58" l="1"/>
  <c r="O11" i="58"/>
  <c r="H11" i="58"/>
  <c r="G11" i="58"/>
  <c r="S11" i="97"/>
  <c r="O11" i="97"/>
  <c r="S11" i="94"/>
  <c r="O11" i="94"/>
  <c r="H11" i="94"/>
  <c r="G11" i="94"/>
  <c r="S14" i="75"/>
  <c r="O14" i="75"/>
  <c r="S13" i="63"/>
  <c r="O13" i="63"/>
  <c r="H11" i="119"/>
  <c r="G11" i="119"/>
  <c r="S11" i="119"/>
  <c r="O11" i="119"/>
  <c r="Q10" i="69" l="1"/>
  <c r="S13" i="131" l="1"/>
  <c r="O13" i="131"/>
  <c r="H13" i="131"/>
  <c r="G13" i="131"/>
  <c r="S11" i="127"/>
  <c r="O11" i="127"/>
  <c r="H11" i="127"/>
  <c r="H12" i="127" s="1"/>
  <c r="H13" i="127" s="1"/>
  <c r="G11" i="127"/>
  <c r="G12" i="127" s="1"/>
  <c r="G13" i="127" s="1"/>
  <c r="S11" i="100"/>
  <c r="O11" i="100"/>
  <c r="H11" i="100"/>
  <c r="G11" i="100"/>
  <c r="S10" i="67"/>
  <c r="O10" i="67"/>
  <c r="S12" i="75"/>
  <c r="O12" i="75"/>
  <c r="H10" i="67"/>
  <c r="G10" i="67"/>
  <c r="S12" i="64"/>
  <c r="O12" i="64"/>
  <c r="S11" i="63"/>
  <c r="O11" i="63"/>
  <c r="S12" i="131" l="1"/>
  <c r="O12" i="131"/>
  <c r="S10" i="127"/>
  <c r="O10" i="127"/>
  <c r="S12" i="126"/>
  <c r="O12" i="126"/>
  <c r="S11" i="123"/>
  <c r="O11" i="123"/>
  <c r="S11" i="124"/>
  <c r="O11" i="124"/>
  <c r="R16" i="122"/>
  <c r="Q16" i="122"/>
  <c r="N16" i="122"/>
  <c r="M16" i="122"/>
  <c r="S11" i="122"/>
  <c r="O11" i="122"/>
  <c r="S10" i="121"/>
  <c r="O10" i="121"/>
  <c r="R18" i="120"/>
  <c r="Q18" i="120"/>
  <c r="N18" i="120"/>
  <c r="M18" i="120"/>
  <c r="S10" i="120"/>
  <c r="O10" i="120"/>
  <c r="S9" i="117"/>
  <c r="O9" i="117"/>
  <c r="S10" i="106"/>
  <c r="O10" i="106"/>
  <c r="S11" i="111"/>
  <c r="O11" i="111"/>
  <c r="S9" i="104"/>
  <c r="O9" i="104"/>
  <c r="S11" i="132"/>
  <c r="O11" i="132"/>
  <c r="S9" i="66"/>
  <c r="O9" i="66"/>
  <c r="S10" i="100"/>
  <c r="O10" i="100"/>
  <c r="R15" i="105"/>
  <c r="Q15" i="105"/>
  <c r="N15" i="105"/>
  <c r="M15" i="105"/>
  <c r="S10" i="105"/>
  <c r="O10" i="105"/>
  <c r="S10" i="89"/>
  <c r="O10" i="89"/>
  <c r="S10" i="110"/>
  <c r="O10" i="110"/>
  <c r="S10" i="88"/>
  <c r="O10" i="88"/>
  <c r="S10" i="80"/>
  <c r="O10" i="80"/>
  <c r="S9" i="68"/>
  <c r="O9" i="68"/>
  <c r="S11" i="59"/>
  <c r="O11" i="59"/>
  <c r="S10" i="119"/>
  <c r="O10" i="119"/>
  <c r="S12" i="90"/>
  <c r="O12" i="90"/>
  <c r="S10" i="99"/>
  <c r="O10" i="99"/>
  <c r="S9" i="103"/>
  <c r="O9" i="103"/>
  <c r="S10" i="86"/>
  <c r="O10" i="86"/>
  <c r="S10" i="58"/>
  <c r="O10" i="58"/>
  <c r="S11" i="64"/>
  <c r="O11" i="64"/>
  <c r="S9" i="67"/>
  <c r="O9" i="67"/>
  <c r="S10" i="76"/>
  <c r="O10" i="76"/>
  <c r="S11" i="81"/>
  <c r="O11" i="81"/>
  <c r="S10" i="94"/>
  <c r="O10" i="94"/>
  <c r="R16" i="97"/>
  <c r="Q16" i="97"/>
  <c r="N16" i="97"/>
  <c r="M16" i="97"/>
  <c r="S10" i="97"/>
  <c r="O10" i="97"/>
  <c r="S11" i="61"/>
  <c r="O11" i="61"/>
  <c r="S14" i="69"/>
  <c r="O14" i="69"/>
  <c r="R17" i="74"/>
  <c r="Q17" i="74"/>
  <c r="N17" i="74"/>
  <c r="M17" i="74"/>
  <c r="S11" i="74"/>
  <c r="O11" i="74"/>
  <c r="S9" i="70"/>
  <c r="O9" i="70"/>
  <c r="S10" i="91"/>
  <c r="O10" i="91"/>
  <c r="S11" i="84"/>
  <c r="O11" i="84"/>
  <c r="S11" i="98"/>
  <c r="O11" i="98"/>
  <c r="S10" i="83"/>
  <c r="O10" i="83"/>
  <c r="S10" i="92"/>
  <c r="O10" i="92"/>
  <c r="S11" i="85"/>
  <c r="O11" i="85"/>
  <c r="S10" i="63"/>
  <c r="O10" i="63"/>
  <c r="S11" i="57"/>
  <c r="S11" i="75"/>
  <c r="O11" i="75"/>
  <c r="O11" i="57"/>
  <c r="S11" i="126" l="1"/>
  <c r="S10" i="126"/>
  <c r="O11" i="126"/>
  <c r="H11" i="126"/>
  <c r="G11" i="126"/>
  <c r="S13" i="69"/>
  <c r="O13" i="69"/>
  <c r="H10" i="64"/>
  <c r="H11" i="64" s="1"/>
  <c r="H12" i="64" s="1"/>
  <c r="G10" i="64"/>
  <c r="G11" i="64" s="1"/>
  <c r="G12" i="64" s="1"/>
  <c r="S10" i="64"/>
  <c r="O10" i="64"/>
  <c r="S10" i="59"/>
  <c r="O10" i="59"/>
  <c r="Q9" i="69" l="1"/>
  <c r="S10" i="131" l="1"/>
  <c r="S20" i="131" s="1"/>
  <c r="O10" i="131"/>
  <c r="S11" i="131" l="1"/>
  <c r="O11" i="131"/>
  <c r="S9" i="127"/>
  <c r="O9" i="127"/>
  <c r="O10" i="126"/>
  <c r="S10" i="123"/>
  <c r="O10" i="123"/>
  <c r="S10" i="124"/>
  <c r="O10" i="124"/>
  <c r="S10" i="122"/>
  <c r="O10" i="122"/>
  <c r="S9" i="121"/>
  <c r="O9" i="121"/>
  <c r="S9" i="120"/>
  <c r="O9" i="120"/>
  <c r="S8" i="117"/>
  <c r="O8" i="117"/>
  <c r="S8" i="104"/>
  <c r="O8" i="104"/>
  <c r="S9" i="106"/>
  <c r="O9" i="106"/>
  <c r="S10" i="111"/>
  <c r="O10" i="111"/>
  <c r="S10" i="132"/>
  <c r="O10" i="132"/>
  <c r="S9" i="100"/>
  <c r="O9" i="100"/>
  <c r="S9" i="105"/>
  <c r="O9" i="105"/>
  <c r="S9" i="89"/>
  <c r="O9" i="89"/>
  <c r="S9" i="110"/>
  <c r="O9" i="110"/>
  <c r="S9" i="88" l="1"/>
  <c r="O9" i="88"/>
  <c r="S9" i="80"/>
  <c r="O9" i="80"/>
  <c r="S8" i="68"/>
  <c r="O8" i="68"/>
  <c r="S9" i="59"/>
  <c r="O9" i="59"/>
  <c r="S9" i="119"/>
  <c r="O9" i="119"/>
  <c r="S11" i="90"/>
  <c r="O11" i="90"/>
  <c r="S8" i="103"/>
  <c r="O8" i="103"/>
  <c r="O9" i="99"/>
  <c r="S9" i="86"/>
  <c r="O9" i="86"/>
  <c r="S9" i="58"/>
  <c r="O9" i="58"/>
  <c r="S9" i="64"/>
  <c r="O9" i="64"/>
  <c r="S8" i="67"/>
  <c r="S16" i="67" s="1"/>
  <c r="O8" i="67"/>
  <c r="S9" i="76"/>
  <c r="O9" i="76"/>
  <c r="S10" i="81"/>
  <c r="O10" i="81"/>
  <c r="S9" i="94"/>
  <c r="O9" i="94"/>
  <c r="S9" i="97"/>
  <c r="O9" i="97"/>
  <c r="H9" i="97"/>
  <c r="G9" i="97"/>
  <c r="S10" i="61"/>
  <c r="O10" i="61"/>
  <c r="S12" i="69"/>
  <c r="S11" i="69"/>
  <c r="O12" i="69"/>
  <c r="S10" i="74"/>
  <c r="O10" i="74"/>
  <c r="H10" i="74"/>
  <c r="G10" i="74"/>
  <c r="S8" i="70"/>
  <c r="O8" i="70"/>
  <c r="H8" i="70"/>
  <c r="G8" i="70"/>
  <c r="R15" i="91"/>
  <c r="Q15" i="91"/>
  <c r="N15" i="91"/>
  <c r="M15" i="91"/>
  <c r="S9" i="91"/>
  <c r="S8" i="91"/>
  <c r="O9" i="91"/>
  <c r="O8" i="91"/>
  <c r="H9" i="91"/>
  <c r="G9" i="91"/>
  <c r="S10" i="84"/>
  <c r="O10" i="84"/>
  <c r="H10" i="84"/>
  <c r="G10" i="84"/>
  <c r="S10" i="98"/>
  <c r="O10" i="98"/>
  <c r="S9" i="83"/>
  <c r="O9" i="83"/>
  <c r="H9" i="83"/>
  <c r="G9" i="83"/>
  <c r="S9" i="92"/>
  <c r="O9" i="92"/>
  <c r="S10" i="85"/>
  <c r="O10" i="85"/>
  <c r="H10" i="85"/>
  <c r="G10" i="85"/>
  <c r="S9" i="63"/>
  <c r="O9" i="63"/>
  <c r="H9" i="63"/>
  <c r="H11" i="63" s="1"/>
  <c r="H13" i="63" s="1"/>
  <c r="G9" i="63"/>
  <c r="G11" i="63" s="1"/>
  <c r="G13" i="63" s="1"/>
  <c r="S10" i="75"/>
  <c r="O10" i="75"/>
  <c r="S10" i="57"/>
  <c r="O10" i="57"/>
  <c r="H10" i="97" l="1"/>
  <c r="H11" i="97"/>
  <c r="G10" i="97"/>
  <c r="G11" i="97"/>
  <c r="G11" i="83"/>
  <c r="G10" i="83"/>
  <c r="G12" i="83" s="1"/>
  <c r="H11" i="83"/>
  <c r="H10" i="83"/>
  <c r="H12" i="83" s="1"/>
  <c r="H11" i="85"/>
  <c r="H12" i="85"/>
  <c r="G11" i="85"/>
  <c r="G12" i="85"/>
  <c r="G12" i="74"/>
  <c r="G11" i="74"/>
  <c r="H12" i="74"/>
  <c r="H11" i="74"/>
  <c r="H11" i="84"/>
  <c r="H12" i="84"/>
  <c r="G11" i="84"/>
  <c r="G12" i="84"/>
  <c r="O7" i="131"/>
  <c r="O20" i="131" s="1"/>
  <c r="S8" i="131" l="1"/>
  <c r="O8" i="131"/>
  <c r="L8" i="127"/>
  <c r="K8" i="127"/>
  <c r="J8" i="127"/>
  <c r="I8" i="127"/>
  <c r="S8" i="126"/>
  <c r="O8" i="126"/>
  <c r="H8" i="100" l="1"/>
  <c r="G8" i="100"/>
  <c r="K9" i="81"/>
  <c r="K8" i="81"/>
  <c r="H10" i="69" l="1"/>
  <c r="H11" i="69" s="1"/>
  <c r="H12" i="69" s="1"/>
  <c r="H13" i="69" s="1"/>
  <c r="H14" i="69" s="1"/>
  <c r="G10" i="69"/>
  <c r="G11" i="69" s="1"/>
  <c r="G12" i="69" s="1"/>
  <c r="G13" i="69" s="1"/>
  <c r="G14" i="69" s="1"/>
  <c r="L8" i="91"/>
  <c r="K8" i="91"/>
  <c r="J8" i="91"/>
  <c r="I8" i="91"/>
  <c r="H8" i="91"/>
  <c r="G8" i="91"/>
  <c r="L8" i="98"/>
  <c r="K8" i="98"/>
  <c r="J8" i="63"/>
  <c r="G8" i="63"/>
  <c r="L8" i="63"/>
  <c r="K8" i="63"/>
  <c r="I8" i="63"/>
  <c r="H8" i="63"/>
  <c r="G16" i="69" l="1"/>
  <c r="G15" i="69"/>
  <c r="H16" i="69"/>
  <c r="H15" i="69"/>
  <c r="S9" i="69"/>
  <c r="O9" i="69"/>
  <c r="S9" i="90" l="1"/>
  <c r="O9" i="90"/>
  <c r="S17" i="130" l="1"/>
  <c r="S50" i="130" s="1"/>
  <c r="O17" i="130"/>
  <c r="R17" i="130"/>
  <c r="Q17" i="130"/>
  <c r="N17" i="130"/>
  <c r="M17" i="130"/>
  <c r="S10" i="69" l="1"/>
  <c r="K9" i="111" l="1"/>
  <c r="O10" i="69" l="1"/>
  <c r="M19" i="124" l="1"/>
  <c r="R10" i="133" l="1"/>
  <c r="Q10" i="133"/>
  <c r="N10" i="133"/>
  <c r="M10" i="133"/>
  <c r="S8" i="133"/>
  <c r="S10" i="133" s="1"/>
  <c r="O8" i="133"/>
  <c r="O10" i="133" s="1"/>
  <c r="S8" i="132"/>
  <c r="O8" i="132"/>
  <c r="L8" i="124" l="1"/>
  <c r="I8" i="124"/>
  <c r="J8" i="124"/>
  <c r="H8" i="124"/>
  <c r="G8" i="124"/>
  <c r="L8" i="122"/>
  <c r="J8" i="122"/>
  <c r="I8" i="122"/>
  <c r="H8" i="122"/>
  <c r="G8" i="122"/>
  <c r="L9" i="111"/>
  <c r="J9" i="111"/>
  <c r="I9" i="111"/>
  <c r="H9" i="111"/>
  <c r="G9" i="111"/>
  <c r="L8" i="110"/>
  <c r="J8" i="110"/>
  <c r="I8" i="110"/>
  <c r="H8" i="110"/>
  <c r="G8" i="110"/>
  <c r="L8" i="80"/>
  <c r="J8" i="80"/>
  <c r="I8" i="80"/>
  <c r="H8" i="80"/>
  <c r="G8" i="80"/>
  <c r="L8" i="81" l="1"/>
  <c r="L9" i="81" s="1"/>
  <c r="J8" i="81"/>
  <c r="J9" i="81" s="1"/>
  <c r="I8" i="81"/>
  <c r="I9" i="81" s="1"/>
  <c r="H8" i="81"/>
  <c r="H9" i="81" s="1"/>
  <c r="G8" i="81"/>
  <c r="G9" i="81" s="1"/>
  <c r="L8" i="61"/>
  <c r="J8" i="61"/>
  <c r="I8" i="61"/>
  <c r="H8" i="61"/>
  <c r="G8" i="61"/>
  <c r="J8" i="69"/>
  <c r="I8" i="69"/>
  <c r="L8" i="84" l="1"/>
  <c r="J9" i="84"/>
  <c r="J8" i="84"/>
  <c r="I8" i="84"/>
  <c r="H8" i="84"/>
  <c r="G8" i="84"/>
  <c r="G8" i="98" l="1"/>
  <c r="J8" i="98"/>
  <c r="I8" i="98"/>
  <c r="H8" i="98"/>
  <c r="H10" i="98" l="1"/>
  <c r="H9" i="98"/>
  <c r="G10" i="98"/>
  <c r="G9" i="98"/>
  <c r="G12" i="98"/>
  <c r="G11" i="98"/>
  <c r="H12" i="98"/>
  <c r="H11" i="98"/>
  <c r="S7" i="84"/>
  <c r="O7" i="88" l="1"/>
  <c r="S7" i="88"/>
  <c r="S8" i="127" l="1"/>
  <c r="S18" i="127" s="1"/>
  <c r="O8" i="127"/>
  <c r="O18" i="127" s="1"/>
  <c r="S8" i="124"/>
  <c r="O8" i="124"/>
  <c r="S8" i="122"/>
  <c r="O8" i="122"/>
  <c r="S9" i="74"/>
  <c r="O9" i="74"/>
  <c r="S7" i="98"/>
  <c r="O7" i="98"/>
  <c r="R17" i="98"/>
  <c r="Q17" i="98"/>
  <c r="N17" i="98"/>
  <c r="M17" i="98"/>
  <c r="S9" i="75" l="1"/>
  <c r="R17" i="83" l="1"/>
  <c r="Q17" i="83"/>
  <c r="N17" i="83"/>
  <c r="M17" i="83"/>
  <c r="R18" i="111" l="1"/>
  <c r="Q18" i="111"/>
  <c r="R16" i="89"/>
  <c r="Q16" i="89"/>
  <c r="N16" i="89"/>
  <c r="E41" i="128" l="1"/>
  <c r="S9" i="128"/>
  <c r="O9" i="128"/>
  <c r="S8" i="128"/>
  <c r="O8" i="128"/>
  <c r="S7" i="128"/>
  <c r="O7" i="128"/>
  <c r="K8" i="121" l="1"/>
  <c r="H8" i="105"/>
  <c r="I8" i="105"/>
  <c r="J8" i="105"/>
  <c r="K8" i="105"/>
  <c r="L8" i="105"/>
  <c r="G8" i="105"/>
  <c r="H8" i="89"/>
  <c r="I8" i="89"/>
  <c r="J8" i="89"/>
  <c r="K8" i="89"/>
  <c r="L8" i="89"/>
  <c r="G8" i="89"/>
  <c r="J8" i="120"/>
  <c r="K8" i="120"/>
  <c r="L8" i="120"/>
  <c r="I8" i="120"/>
  <c r="H8" i="120"/>
  <c r="G8" i="120"/>
  <c r="H8" i="90"/>
  <c r="I8" i="90"/>
  <c r="J8" i="90"/>
  <c r="K8" i="90"/>
  <c r="L8" i="90"/>
  <c r="H8" i="123"/>
  <c r="I8" i="123"/>
  <c r="J8" i="123"/>
  <c r="K8" i="123"/>
  <c r="L8" i="123"/>
  <c r="H9" i="123"/>
  <c r="I9" i="123"/>
  <c r="J9" i="123"/>
  <c r="K9" i="123"/>
  <c r="L9" i="123"/>
  <c r="G9" i="123"/>
  <c r="G8" i="123"/>
  <c r="H9" i="124"/>
  <c r="I9" i="124"/>
  <c r="J9" i="124"/>
  <c r="K9" i="124"/>
  <c r="L9" i="124"/>
  <c r="G9" i="124"/>
  <c r="G9" i="122"/>
  <c r="I9" i="122"/>
  <c r="J9" i="122"/>
  <c r="K9" i="122"/>
  <c r="L9" i="122"/>
  <c r="H9" i="122"/>
  <c r="H8" i="106"/>
  <c r="I8" i="106"/>
  <c r="J8" i="106"/>
  <c r="K8" i="106"/>
  <c r="L8" i="106"/>
  <c r="G8" i="106"/>
  <c r="N17" i="110"/>
  <c r="Q17" i="110"/>
  <c r="R17" i="110"/>
  <c r="S7" i="110"/>
  <c r="O7" i="110"/>
  <c r="M17" i="110"/>
  <c r="Q15" i="80"/>
  <c r="R15" i="80"/>
  <c r="O7" i="80"/>
  <c r="S7" i="80"/>
  <c r="M15" i="80"/>
  <c r="N15" i="68"/>
  <c r="Q15" i="68"/>
  <c r="R15" i="68"/>
  <c r="M15" i="68"/>
  <c r="R15" i="99"/>
  <c r="Q15" i="99"/>
  <c r="N15" i="99"/>
  <c r="O7" i="99"/>
  <c r="M15" i="99"/>
  <c r="S7" i="86"/>
  <c r="O7" i="86"/>
  <c r="N15" i="86"/>
  <c r="Q15" i="86"/>
  <c r="R15" i="86"/>
  <c r="M15" i="86"/>
  <c r="S7" i="61"/>
  <c r="S19" i="61" s="1"/>
  <c r="O7" i="61"/>
  <c r="O19" i="61" s="1"/>
  <c r="N17" i="84"/>
  <c r="Q17" i="84"/>
  <c r="R17" i="84"/>
  <c r="M17" i="84"/>
  <c r="O7" i="84"/>
  <c r="I8" i="85"/>
  <c r="H8" i="85"/>
  <c r="J8" i="85"/>
  <c r="K8" i="85"/>
  <c r="L8" i="85"/>
  <c r="G8" i="85"/>
  <c r="G8" i="90" l="1"/>
  <c r="L8" i="58"/>
  <c r="K8" i="58"/>
  <c r="J8" i="58"/>
  <c r="I8" i="58"/>
  <c r="H8" i="58"/>
  <c r="G8" i="58"/>
  <c r="L8" i="64"/>
  <c r="K8" i="64"/>
  <c r="J8" i="64"/>
  <c r="I8" i="64"/>
  <c r="H8" i="64"/>
  <c r="G8" i="64"/>
  <c r="L9" i="61"/>
  <c r="K9" i="61"/>
  <c r="J9" i="61"/>
  <c r="I9" i="61"/>
  <c r="H9" i="61"/>
  <c r="H10" i="61" s="1"/>
  <c r="G9" i="61"/>
  <c r="G10" i="61" s="1"/>
  <c r="K8" i="69"/>
  <c r="L8" i="69"/>
  <c r="H8" i="69"/>
  <c r="G8" i="69"/>
  <c r="L9" i="84"/>
  <c r="K9" i="84"/>
  <c r="I9" i="84"/>
  <c r="H9" i="84"/>
  <c r="G9" i="84"/>
  <c r="J8" i="83"/>
  <c r="K8" i="83"/>
  <c r="L8" i="83"/>
  <c r="I8" i="83"/>
  <c r="H8" i="83"/>
  <c r="G8" i="83"/>
  <c r="L8" i="92"/>
  <c r="K8" i="92"/>
  <c r="J8" i="92"/>
  <c r="I8" i="92"/>
  <c r="H8" i="92"/>
  <c r="H9" i="92" s="1"/>
  <c r="G8" i="92"/>
  <c r="G9" i="92" s="1"/>
  <c r="G10" i="92" l="1"/>
  <c r="G11" i="92"/>
  <c r="H10" i="92"/>
  <c r="H11" i="92"/>
  <c r="G12" i="61"/>
  <c r="H12" i="61"/>
  <c r="J8" i="75"/>
  <c r="K8" i="75"/>
  <c r="K9" i="75" s="1"/>
  <c r="L8" i="75"/>
  <c r="I8" i="75"/>
  <c r="H8" i="75"/>
  <c r="H9" i="75" s="1"/>
  <c r="H10" i="75" s="1"/>
  <c r="H11" i="75" s="1"/>
  <c r="H12" i="75" s="1"/>
  <c r="H14" i="75" s="1"/>
  <c r="H15" i="75" s="1"/>
  <c r="G8" i="75"/>
  <c r="G9" i="75" s="1"/>
  <c r="G10" i="75" s="1"/>
  <c r="G11" i="75" s="1"/>
  <c r="G12" i="75" s="1"/>
  <c r="G14" i="75" s="1"/>
  <c r="G15" i="75" s="1"/>
  <c r="L9" i="57"/>
  <c r="J9" i="57"/>
  <c r="K9" i="57"/>
  <c r="I9" i="57"/>
  <c r="H9" i="57"/>
  <c r="H10" i="57" s="1"/>
  <c r="G9" i="57"/>
  <c r="G10" i="57" s="1"/>
  <c r="H12" i="57" l="1"/>
  <c r="H14" i="57" s="1"/>
  <c r="H11" i="57"/>
  <c r="H13" i="57" s="1"/>
  <c r="G12" i="57"/>
  <c r="G14" i="57" s="1"/>
  <c r="G11" i="57"/>
  <c r="G13" i="57" s="1"/>
  <c r="Q17" i="81"/>
  <c r="M17" i="81"/>
  <c r="S7" i="124" l="1"/>
  <c r="N19" i="124"/>
  <c r="Q19" i="124"/>
  <c r="R19" i="124"/>
  <c r="O7" i="124"/>
  <c r="S7" i="122"/>
  <c r="O7" i="122"/>
  <c r="S8" i="105"/>
  <c r="O8" i="105"/>
  <c r="E56" i="75"/>
  <c r="S7" i="123" l="1"/>
  <c r="N18" i="123"/>
  <c r="R18" i="123"/>
  <c r="M18" i="123"/>
  <c r="O7" i="123"/>
  <c r="Q18" i="123" l="1"/>
  <c r="S9" i="123" l="1"/>
  <c r="O9" i="123"/>
  <c r="S9" i="124" l="1"/>
  <c r="S19" i="124" s="1"/>
  <c r="O9" i="124"/>
  <c r="O19" i="124" s="1"/>
  <c r="S8" i="123"/>
  <c r="O8" i="123"/>
  <c r="S9" i="122"/>
  <c r="S16" i="122" s="1"/>
  <c r="O9" i="122"/>
  <c r="O16" i="122" s="1"/>
  <c r="S18" i="123" l="1"/>
  <c r="O18" i="123"/>
  <c r="S8" i="110" l="1"/>
  <c r="S17" i="110" s="1"/>
  <c r="S8" i="86"/>
  <c r="S15" i="86" s="1"/>
  <c r="S9" i="81"/>
  <c r="O8" i="61"/>
  <c r="S7" i="74" l="1"/>
  <c r="O7" i="74"/>
  <c r="S7" i="103" l="1"/>
  <c r="E47" i="100" l="1"/>
  <c r="S8" i="61" l="1"/>
  <c r="Q16" i="121"/>
  <c r="R16" i="121"/>
  <c r="N16" i="121"/>
  <c r="M16" i="121"/>
  <c r="S7" i="121"/>
  <c r="O7" i="121"/>
  <c r="S8" i="89" l="1"/>
  <c r="S8" i="90"/>
  <c r="E39" i="95" l="1"/>
  <c r="S7" i="120"/>
  <c r="S18" i="120" s="1"/>
  <c r="O7" i="120"/>
  <c r="O18" i="120" s="1"/>
  <c r="S8" i="97"/>
  <c r="S7" i="117" l="1"/>
  <c r="S9" i="111"/>
  <c r="S8" i="59"/>
  <c r="O8" i="59"/>
  <c r="O17" i="59" s="1"/>
  <c r="S8" i="63" l="1"/>
  <c r="S7" i="63"/>
  <c r="S18" i="63" s="1"/>
  <c r="R11" i="95" l="1"/>
  <c r="Q11" i="95"/>
  <c r="N11" i="95"/>
  <c r="M11" i="95"/>
  <c r="N16" i="92" l="1"/>
  <c r="M16" i="92"/>
  <c r="O8" i="69" l="1"/>
  <c r="O7" i="69"/>
  <c r="O22" i="69" s="1"/>
  <c r="N16" i="106"/>
  <c r="Q16" i="106"/>
  <c r="R16" i="106"/>
  <c r="M16" i="106"/>
  <c r="N17" i="81" l="1"/>
  <c r="R17" i="81"/>
  <c r="Q16" i="92"/>
  <c r="R16" i="92"/>
  <c r="Q18" i="57" l="1"/>
  <c r="R18" i="57"/>
  <c r="M18" i="57"/>
  <c r="S8" i="121" l="1"/>
  <c r="S16" i="121" s="1"/>
  <c r="O8" i="121"/>
  <c r="O16" i="121" s="1"/>
  <c r="S8" i="120"/>
  <c r="O8" i="120"/>
  <c r="S8" i="81" l="1"/>
  <c r="S8" i="64" l="1"/>
  <c r="S8" i="94"/>
  <c r="S7" i="91"/>
  <c r="S15" i="91" s="1"/>
  <c r="S9" i="84"/>
  <c r="S8" i="84"/>
  <c r="S8" i="85"/>
  <c r="S9" i="57"/>
  <c r="S17" i="84" l="1"/>
  <c r="S8" i="106"/>
  <c r="S7" i="106"/>
  <c r="S8" i="76"/>
  <c r="S16" i="106" l="1"/>
  <c r="S8" i="100"/>
  <c r="S8" i="80" l="1"/>
  <c r="S15" i="80" s="1"/>
  <c r="S8" i="69"/>
  <c r="S8" i="58" l="1"/>
  <c r="R16" i="88" l="1"/>
  <c r="Q16" i="88"/>
  <c r="S16" i="88"/>
  <c r="Q16" i="76"/>
  <c r="S7" i="76"/>
  <c r="S16" i="76" s="1"/>
  <c r="S7" i="105" l="1"/>
  <c r="S15" i="105" s="1"/>
  <c r="S7" i="100"/>
  <c r="S17" i="100" s="1"/>
  <c r="S7" i="68" l="1"/>
  <c r="S15" i="68" s="1"/>
  <c r="S7" i="59" l="1"/>
  <c r="S17" i="59" s="1"/>
  <c r="S7" i="67"/>
  <c r="S8" i="75" l="1"/>
  <c r="S7" i="70" l="1"/>
  <c r="N16" i="76" l="1"/>
  <c r="M16" i="76"/>
  <c r="O8" i="97"/>
  <c r="O7" i="105"/>
  <c r="O15" i="105" s="1"/>
  <c r="O7" i="100"/>
  <c r="O17" i="100" s="1"/>
  <c r="O7" i="103"/>
  <c r="O7" i="91"/>
  <c r="O15" i="91" s="1"/>
  <c r="O8" i="90"/>
  <c r="O8" i="89"/>
  <c r="M16" i="88"/>
  <c r="O9" i="111"/>
  <c r="O8" i="106"/>
  <c r="O8" i="86"/>
  <c r="O15" i="86" s="1"/>
  <c r="O8" i="85"/>
  <c r="O17" i="85" s="1"/>
  <c r="O9" i="84"/>
  <c r="O8" i="84"/>
  <c r="O9" i="81"/>
  <c r="O8" i="81"/>
  <c r="O8" i="80"/>
  <c r="O15" i="80" s="1"/>
  <c r="O8" i="75"/>
  <c r="O7" i="68"/>
  <c r="O15" i="68" s="1"/>
  <c r="O7" i="67"/>
  <c r="O7" i="117"/>
  <c r="O8" i="64"/>
  <c r="O17" i="84" l="1"/>
  <c r="O7" i="59"/>
  <c r="O8" i="58"/>
  <c r="O9" i="57"/>
  <c r="S8" i="92" l="1"/>
  <c r="O8" i="92" l="1"/>
  <c r="O7" i="106" l="1"/>
  <c r="S7" i="111"/>
  <c r="S18" i="111" s="1"/>
  <c r="O7" i="111"/>
  <c r="O18" i="111" s="1"/>
  <c r="R16" i="119" l="1"/>
  <c r="Q16" i="119"/>
  <c r="N16" i="119"/>
  <c r="M16" i="119"/>
  <c r="S8" i="119"/>
  <c r="O8" i="119"/>
  <c r="S7" i="119"/>
  <c r="O7" i="119"/>
  <c r="S16" i="119" l="1"/>
  <c r="O16" i="119"/>
  <c r="O7" i="76" l="1"/>
  <c r="R15" i="117" l="1"/>
  <c r="Q15" i="117"/>
  <c r="N15" i="117"/>
  <c r="M15" i="117"/>
  <c r="S15" i="117"/>
  <c r="S50" i="117" s="1"/>
  <c r="O15" i="117"/>
  <c r="O8" i="110" l="1"/>
  <c r="O17" i="110" s="1"/>
  <c r="S8" i="66" l="1"/>
  <c r="S15" i="66" s="1"/>
  <c r="S7" i="89" l="1"/>
  <c r="S16" i="89" s="1"/>
  <c r="S7" i="90" l="1"/>
  <c r="S18" i="90" s="1"/>
  <c r="O7" i="70" l="1"/>
  <c r="O8" i="83"/>
  <c r="O16" i="88"/>
  <c r="O8" i="99"/>
  <c r="O15" i="99" s="1"/>
  <c r="O9" i="61"/>
  <c r="O8" i="66"/>
  <c r="O8" i="74"/>
  <c r="O17" i="74" s="1"/>
  <c r="O7" i="75"/>
  <c r="O8" i="76"/>
  <c r="O16" i="76" s="1"/>
  <c r="O7" i="83"/>
  <c r="O7" i="85"/>
  <c r="O16" i="106"/>
  <c r="O7" i="89"/>
  <c r="O16" i="89" s="1"/>
  <c r="O7" i="92"/>
  <c r="O7" i="94"/>
  <c r="O7" i="95"/>
  <c r="O7" i="97"/>
  <c r="O16" i="97" s="1"/>
  <c r="O8" i="98"/>
  <c r="O17" i="98" s="1"/>
  <c r="O17" i="83" l="1"/>
  <c r="O16" i="92"/>
  <c r="O7" i="90"/>
  <c r="O18" i="90" s="1"/>
  <c r="O8" i="95" l="1"/>
  <c r="N16" i="88" l="1"/>
  <c r="M16" i="89" l="1"/>
  <c r="O7" i="81" l="1"/>
  <c r="O17" i="81" s="1"/>
  <c r="R14" i="104" l="1"/>
  <c r="Q14" i="104"/>
  <c r="N14" i="104"/>
  <c r="M14" i="104"/>
  <c r="S14" i="104"/>
  <c r="O14" i="104"/>
  <c r="R15" i="103"/>
  <c r="Q15" i="103"/>
  <c r="N15" i="103"/>
  <c r="M15" i="103"/>
  <c r="S15" i="103"/>
  <c r="O15" i="103"/>
  <c r="S9" i="95" l="1"/>
  <c r="S8" i="99" l="1"/>
  <c r="S15" i="99" s="1"/>
  <c r="S50" i="99" s="1"/>
  <c r="S8" i="98"/>
  <c r="S17" i="98" s="1"/>
  <c r="S7" i="97"/>
  <c r="S16" i="97" s="1"/>
  <c r="O9" i="95"/>
  <c r="O11" i="95" s="1"/>
  <c r="S8" i="95"/>
  <c r="S7" i="95"/>
  <c r="R16" i="94"/>
  <c r="Q16" i="94"/>
  <c r="N16" i="94"/>
  <c r="S7" i="94"/>
  <c r="M16" i="94"/>
  <c r="S7" i="92"/>
  <c r="S16" i="92" s="1"/>
  <c r="S7" i="85"/>
  <c r="S11" i="95" l="1"/>
  <c r="S16" i="94"/>
  <c r="O16" i="94"/>
  <c r="S8" i="83"/>
  <c r="S7" i="81"/>
  <c r="S17" i="81" s="1"/>
  <c r="N15" i="80"/>
  <c r="R16" i="76"/>
  <c r="O9" i="75"/>
  <c r="O20" i="75" s="1"/>
  <c r="S7" i="75"/>
  <c r="S20" i="75" s="1"/>
  <c r="S8" i="74"/>
  <c r="S17" i="74" s="1"/>
  <c r="S7" i="83" l="1"/>
  <c r="S17" i="83" s="1"/>
  <c r="R15" i="70"/>
  <c r="Q15" i="70"/>
  <c r="N15" i="70"/>
  <c r="M15" i="70"/>
  <c r="S15" i="70"/>
  <c r="O15" i="70"/>
  <c r="R22" i="69"/>
  <c r="Q22" i="69"/>
  <c r="N22" i="69"/>
  <c r="S7" i="69"/>
  <c r="M22" i="69"/>
  <c r="S22" i="69" l="1"/>
  <c r="S7" i="64" l="1"/>
  <c r="S18" i="64" s="1"/>
  <c r="S50" i="64" s="1"/>
  <c r="B7" i="135" s="1"/>
  <c r="O7" i="64"/>
  <c r="O18" i="64" s="1"/>
  <c r="O7" i="63" l="1"/>
  <c r="O8" i="63" l="1"/>
  <c r="S9" i="61" l="1"/>
  <c r="R16" i="58" l="1"/>
  <c r="S7" i="58"/>
  <c r="Q16" i="58"/>
  <c r="O7" i="58"/>
  <c r="M16" i="58"/>
  <c r="S7" i="57"/>
  <c r="S18" i="57" s="1"/>
  <c r="O7" i="57" l="1"/>
  <c r="O18" i="57" s="1"/>
  <c r="N18" i="57"/>
  <c r="S16" i="58"/>
  <c r="N16" i="58" l="1"/>
  <c r="O16" i="58"/>
</calcChain>
</file>

<file path=xl/sharedStrings.xml><?xml version="1.0" encoding="utf-8"?>
<sst xmlns="http://schemas.openxmlformats.org/spreadsheetml/2006/main" count="6675" uniqueCount="344">
  <si>
    <t>Academy for Positive Learning</t>
  </si>
  <si>
    <t>Program Title</t>
  </si>
  <si>
    <t>CFDA #</t>
  </si>
  <si>
    <t>Award #</t>
  </si>
  <si>
    <t>Awarding Federal Agency</t>
  </si>
  <si>
    <t>Project Period</t>
  </si>
  <si>
    <t>Amount</t>
  </si>
  <si>
    <t>U.S. Dept. of Education</t>
  </si>
  <si>
    <t>Title 1 Part A Education of Disadvantaged Children &amp; Youth</t>
  </si>
  <si>
    <t>Believers Academy</t>
  </si>
  <si>
    <t>Everglades Preparatory Academy</t>
  </si>
  <si>
    <t>Montessori Academy of Early Enrichment</t>
  </si>
  <si>
    <t>Potentials Charter School</t>
  </si>
  <si>
    <t>G-Star School of the Arts for Motion Pictures and Television</t>
  </si>
  <si>
    <t>Palm Beach School for Autism</t>
  </si>
  <si>
    <t>Imagine Schools - Chancellor Campus</t>
  </si>
  <si>
    <t>Fund</t>
  </si>
  <si>
    <t>Ben Gamla</t>
  </si>
  <si>
    <t>Gardens School of Technology Arts</t>
  </si>
  <si>
    <t>Quantum High School</t>
  </si>
  <si>
    <t>Worthington High School</t>
  </si>
  <si>
    <t>Renaissance Charter School at West Palm Beach</t>
  </si>
  <si>
    <t>Carl D. Perkins - Career &amp; Technical Education, Secondary Sec. 131</t>
  </si>
  <si>
    <t>Total</t>
  </si>
  <si>
    <t>Renaissance Charter School at Summit</t>
  </si>
  <si>
    <t>Revised</t>
  </si>
  <si>
    <t>Incr&lt;Decr&gt;</t>
  </si>
  <si>
    <t>Original</t>
  </si>
  <si>
    <t>Award</t>
  </si>
  <si>
    <t>Cash</t>
  </si>
  <si>
    <t>Payments</t>
  </si>
  <si>
    <t>On-Behalf</t>
  </si>
  <si>
    <t>*</t>
  </si>
  <si>
    <t>**</t>
  </si>
  <si>
    <t>Paid To</t>
  </si>
  <si>
    <t>On-Behalf Amount</t>
  </si>
  <si>
    <t>Date Paid</t>
  </si>
  <si>
    <t>Description</t>
  </si>
  <si>
    <t>TOTAL</t>
  </si>
  <si>
    <r>
      <rPr>
        <b/>
        <sz val="11"/>
        <color rgb="FFFF0000"/>
        <rFont val="Times New Roman"/>
        <family val="1"/>
      </rPr>
      <t>*</t>
    </r>
    <r>
      <rPr>
        <b/>
        <sz val="11"/>
        <color theme="1"/>
        <rFont val="Times New Roman"/>
        <family val="1"/>
      </rPr>
      <t xml:space="preserve">  On-Behalf Payment Detail:</t>
    </r>
  </si>
  <si>
    <t>Franklin Academy School "B"</t>
  </si>
  <si>
    <t>Gulfstream Goodwill to Life Academy</t>
  </si>
  <si>
    <t>Inlet Grove Community High School</t>
  </si>
  <si>
    <t>Palm Beach Maritime Academy</t>
  </si>
  <si>
    <t>Seagull Academy for Independent Living (SAIL)</t>
  </si>
  <si>
    <t>South Tech Charter Academy</t>
  </si>
  <si>
    <t>Toussaint L'Ouverture High School</t>
  </si>
  <si>
    <t>Western Academy Charter School</t>
  </si>
  <si>
    <t>Department # 0664</t>
  </si>
  <si>
    <t>Department # 3400</t>
  </si>
  <si>
    <t>Department # 3941</t>
  </si>
  <si>
    <t>Department # 3385</t>
  </si>
  <si>
    <t>Department # 2521</t>
  </si>
  <si>
    <t>Department # 3398</t>
  </si>
  <si>
    <t>Department # 4020</t>
  </si>
  <si>
    <t>Department # 3396</t>
  </si>
  <si>
    <t>Department # 3961</t>
  </si>
  <si>
    <t>Department # 3382</t>
  </si>
  <si>
    <t>Department # 3345</t>
  </si>
  <si>
    <t>Department # 3381</t>
  </si>
  <si>
    <t>Department # 1461</t>
  </si>
  <si>
    <t>Department # 3395</t>
  </si>
  <si>
    <t>Department # 3971</t>
  </si>
  <si>
    <t>Department # 3394</t>
  </si>
  <si>
    <t>Department # 2801</t>
  </si>
  <si>
    <t>Department # 2941</t>
  </si>
  <si>
    <t>Department # 2531</t>
  </si>
  <si>
    <t>Department # 3401</t>
  </si>
  <si>
    <t>Department # 4000</t>
  </si>
  <si>
    <t>Department # 4002</t>
  </si>
  <si>
    <t>Department # 3431</t>
  </si>
  <si>
    <t>Department # 3083</t>
  </si>
  <si>
    <t>Department # 2791</t>
  </si>
  <si>
    <t>Department # 3391</t>
  </si>
  <si>
    <t>Department # 1571</t>
  </si>
  <si>
    <t>Department # 3441</t>
  </si>
  <si>
    <t>Department # 3386</t>
  </si>
  <si>
    <t>Department # 2911</t>
  </si>
  <si>
    <t>Department # 3421</t>
  </si>
  <si>
    <t>Somerset Academy Canyons High School</t>
  </si>
  <si>
    <t>Department # 4013</t>
  </si>
  <si>
    <t>Somerset Academy Boca East</t>
  </si>
  <si>
    <t>Department # 3413</t>
  </si>
  <si>
    <t>Somerset Academy Boca Middle School</t>
  </si>
  <si>
    <t>Department # 4041</t>
  </si>
  <si>
    <t>Somerset Academy Canyons Middle School</t>
  </si>
  <si>
    <t>Department # 4012</t>
  </si>
  <si>
    <t>Department # 4001</t>
  </si>
  <si>
    <t>Expenditure under the applicable Federal Award</t>
  </si>
  <si>
    <r>
      <rPr>
        <sz val="10.5"/>
        <color rgb="FF00B0F0"/>
        <rFont val="Times New Roman"/>
        <family val="1"/>
      </rPr>
      <t>**</t>
    </r>
    <r>
      <rPr>
        <sz val="10.5"/>
        <rFont val="Times New Roman"/>
        <family val="1"/>
      </rPr>
      <t xml:space="preserve"> Required to be recorded as Revenue and </t>
    </r>
  </si>
  <si>
    <r>
      <t>**</t>
    </r>
    <r>
      <rPr>
        <sz val="10.5"/>
        <rFont val="Times New Roman"/>
        <family val="1"/>
      </rPr>
      <t xml:space="preserve"> Required to be recorded as Revenue and </t>
    </r>
  </si>
  <si>
    <t>Renaissance Charter School at Wellington</t>
  </si>
  <si>
    <t>Department # 4051</t>
  </si>
  <si>
    <t>Renaissance Charter School at Central Palm</t>
  </si>
  <si>
    <t>Renaissance Charter School at Cypress</t>
  </si>
  <si>
    <t>Department # 4050</t>
  </si>
  <si>
    <t>Palm Beach Maritime Academy High School</t>
  </si>
  <si>
    <t>Department # 3924</t>
  </si>
  <si>
    <t>Department # 4061</t>
  </si>
  <si>
    <t>Glades Academy Inc.</t>
  </si>
  <si>
    <t xml:space="preserve"> </t>
  </si>
  <si>
    <t>University Prep Academy</t>
  </si>
  <si>
    <t>Department # 4080</t>
  </si>
  <si>
    <t>Florida Futures Academy North</t>
  </si>
  <si>
    <t>Department # 4081</t>
  </si>
  <si>
    <t>Project/Program Title</t>
  </si>
  <si>
    <t>84.010 Title I, Part A, Basic</t>
  </si>
  <si>
    <t>FAIN#</t>
  </si>
  <si>
    <t>S010A150009</t>
  </si>
  <si>
    <t>Palm Beach County School District Contacts:</t>
  </si>
  <si>
    <t>Title I</t>
  </si>
  <si>
    <t>IDEA</t>
  </si>
  <si>
    <t>Name</t>
  </si>
  <si>
    <t>Phone#</t>
  </si>
  <si>
    <t>Linda Guzman</t>
  </si>
  <si>
    <t>Carl D. Perkins</t>
  </si>
  <si>
    <t>Amy Barningham</t>
  </si>
  <si>
    <t>Victoria Brioc</t>
  </si>
  <si>
    <t>561-434-8967</t>
  </si>
  <si>
    <t>561-434-8674</t>
  </si>
  <si>
    <t>561-649-6851</t>
  </si>
  <si>
    <t>Federal Award Date</t>
  </si>
  <si>
    <t>84.027 IDEA Part B -K-12 Entitlement</t>
  </si>
  <si>
    <t>H027A150024</t>
  </si>
  <si>
    <t>V048A150009</t>
  </si>
  <si>
    <t>TERMS AND SPECIAL CONDITIONS</t>
  </si>
  <si>
    <r>
      <t xml:space="preserve">This project and any amendments are subject to the procedures outlined in the </t>
    </r>
    <r>
      <rPr>
        <u/>
        <sz val="11"/>
        <color theme="1"/>
        <rFont val="Times New Roman"/>
        <family val="1"/>
      </rPr>
      <t>Project Application and Amendment Procedures for Federal and State Programs</t>
    </r>
    <r>
      <rPr>
        <sz val="11"/>
        <color theme="1"/>
        <rFont val="Times New Roman"/>
        <family val="1"/>
      </rPr>
      <t xml:space="preserve"> (Green Book) and the General Assurances for Participation in Federal and State Programs.</t>
    </r>
  </si>
  <si>
    <t>CFDA#/Name</t>
  </si>
  <si>
    <t>IDEA, Part B -K-12, Entitlement</t>
  </si>
  <si>
    <t>As a sub-recipient of Federal funds there is a requirement that you permit the Palm Beach County School District and auditors to have access to your records and financial statements as necessary for the Palm Beach County School District to meet the requirements of section, 200.300 Statutory and national policy requirements through 300.309 Period of performance, and Subpart F-Audit Requirements of this Part.</t>
  </si>
  <si>
    <t>IDEA, Part B, Pre-K Entitlement</t>
  </si>
  <si>
    <t>84.173 IDEA Part B- Preschool Disc</t>
  </si>
  <si>
    <t>84.048 Carl D Perkins Career &amp; Technical Education</t>
  </si>
  <si>
    <t>Last Date to Incur Expenditures</t>
  </si>
  <si>
    <t>Last Date to Submit Reimbursement Request/Close out Grants</t>
  </si>
  <si>
    <t>Sharon Kovner</t>
  </si>
  <si>
    <t>Restricted Indirect Cost Rate+</t>
  </si>
  <si>
    <t>Unrestricted Indirect Cost Rate+</t>
  </si>
  <si>
    <t>Title II-Teacher/Principal Training</t>
  </si>
  <si>
    <t>07/01/2016 - 06/30/2017</t>
  </si>
  <si>
    <t>500-1617A-7CS01</t>
  </si>
  <si>
    <t>Department # 4100</t>
  </si>
  <si>
    <t>Department # 4090</t>
  </si>
  <si>
    <t>Connections Education Center PB</t>
  </si>
  <si>
    <t>Department # 4091</t>
  </si>
  <si>
    <t>Somerset Academy Lakes</t>
  </si>
  <si>
    <t>21st Century Community Learning Centers</t>
  </si>
  <si>
    <t>561-434-7315</t>
  </si>
  <si>
    <t>Federal Grant Allocations/Reimbursements as of :</t>
  </si>
  <si>
    <t>4201</t>
  </si>
  <si>
    <t>4253</t>
  </si>
  <si>
    <t>4255</t>
  </si>
  <si>
    <t>Bridge Prep Academy of PB</t>
  </si>
  <si>
    <t>Department # 4102</t>
  </si>
  <si>
    <t>July 1, 2018 - June 30, 2019</t>
  </si>
  <si>
    <t>500-2129B-9CB01</t>
  </si>
  <si>
    <t>500-2639B-9CB01</t>
  </si>
  <si>
    <t>07/01/18 - 06/30/19</t>
  </si>
  <si>
    <t>FY19</t>
  </si>
  <si>
    <t>https://www2.ed.gov/policy/fund/guid/uniform-guidance/index.html</t>
  </si>
  <si>
    <t>Pursuant to OMB Uniform Guidance (2 CFR 200.501), "Each non-federal entity that expends $750,000 or more in any fiscal year of such non-federal entity shall be required to have a "Single or program specific audit".  For further information, please see link below.</t>
  </si>
  <si>
    <t>SLAM Boca Middle/High</t>
  </si>
  <si>
    <t>Department # 4103</t>
  </si>
  <si>
    <t>S010A180009</t>
  </si>
  <si>
    <t>U282A160012</t>
  </si>
  <si>
    <t>Reimbursements as of 12/31/18</t>
  </si>
  <si>
    <t>Indirect Cost Plan - 2018-19</t>
  </si>
  <si>
    <t>The Learning Academy @ the Els Center of Excellence</t>
  </si>
  <si>
    <t>The Learning Center @ the Els Center of Excellence</t>
  </si>
  <si>
    <t>Bright Futures Academy</t>
  </si>
  <si>
    <t>South Tech Preparatory Academy Middle</t>
  </si>
  <si>
    <t>H027A180024</t>
  </si>
  <si>
    <t>V048A180009</t>
  </si>
  <si>
    <t>S367A180009</t>
  </si>
  <si>
    <t>DUNS #150889900</t>
  </si>
  <si>
    <t>CSP Grant</t>
  </si>
  <si>
    <t>DUNS #179459669</t>
  </si>
  <si>
    <t>DUNS #064706796</t>
  </si>
  <si>
    <t>561-434-7371</t>
  </si>
  <si>
    <t>Michelle Martin</t>
  </si>
  <si>
    <t>Tangela Steele</t>
  </si>
  <si>
    <t>561-649-6868</t>
  </si>
  <si>
    <t>(84.010) Title I, Part A, Basic</t>
  </si>
  <si>
    <t>(84.027) IDEA Part B -K-12 Entitlement</t>
  </si>
  <si>
    <t>(84.048) Carl D Perkins Career &amp; Technical Education</t>
  </si>
  <si>
    <t>84.048 Carld D Perkins Career &amp; Technical Education</t>
  </si>
  <si>
    <t>84.287 21st CCLC  NCLB</t>
  </si>
  <si>
    <t>84.367 Title II</t>
  </si>
  <si>
    <t>Sports Leadership and Management (SLAM) Middle</t>
  </si>
  <si>
    <t>Public Charter Schools Grant Program (CSP) Implementation Only 2018-2020</t>
  </si>
  <si>
    <t>84.282 Charter Schools</t>
  </si>
  <si>
    <t>U282A110004</t>
  </si>
  <si>
    <t>Department # 4030</t>
  </si>
  <si>
    <t>Olympus International Academy</t>
  </si>
  <si>
    <t>Public Charter Schools Grant Program Grant Planning, Design and Implementation</t>
  </si>
  <si>
    <t>DUNS # 117026631</t>
  </si>
  <si>
    <t>FY20</t>
  </si>
  <si>
    <t>July 1, 2019 - June 30, 2020</t>
  </si>
  <si>
    <t>07/01/19 - 06/30/20</t>
  </si>
  <si>
    <t>500-1610A-0CS01</t>
  </si>
  <si>
    <t>21st CCLC</t>
  </si>
  <si>
    <t>84.287 21st CCLC NCLB</t>
  </si>
  <si>
    <t>SLAM Academy High School</t>
  </si>
  <si>
    <t>Department # 4111</t>
  </si>
  <si>
    <t>Somerset Academy of the Arts</t>
  </si>
  <si>
    <t>Department # 4031</t>
  </si>
  <si>
    <t>South Tech Success</t>
  </si>
  <si>
    <t>Department # 4121</t>
  </si>
  <si>
    <t>Indirect Cost Plan - 2019-20</t>
  </si>
  <si>
    <r>
      <t>*Note - To see Indirect Cost Plan - 2019-20 - The School District of Palm Beach County Website/Student &amp; Parents/School Choice/Charter Schools/</t>
    </r>
    <r>
      <rPr>
        <b/>
        <u/>
        <sz val="11"/>
        <color theme="10"/>
        <rFont val="Calibri"/>
        <family val="2"/>
        <scheme val="minor"/>
      </rPr>
      <t>Charter School Fiscal Oversight</t>
    </r>
  </si>
  <si>
    <t>Franklin Academy - Palm Beach Gardens</t>
  </si>
  <si>
    <t>DUNS # 080139612</t>
  </si>
  <si>
    <t>DUNS # 179459669</t>
  </si>
  <si>
    <t>Reimbursements as of 09/30/2019</t>
  </si>
  <si>
    <t xml:space="preserve">Somerset Academy JFK </t>
  </si>
  <si>
    <t>DUNS #  968049465</t>
  </si>
  <si>
    <t>Title I Part A Unified School Improvement (UniSIG)</t>
  </si>
  <si>
    <t>UniSIG</t>
  </si>
  <si>
    <t>S010A190009</t>
  </si>
  <si>
    <t>500-2260B-0C002</t>
  </si>
  <si>
    <t>09/03/19 - 08/31/20</t>
  </si>
  <si>
    <t>Palm Beach Preparatory Charter Academy</t>
  </si>
  <si>
    <t>Ed Venture Charter School</t>
  </si>
  <si>
    <t>2018-2020 Public Charter Schools Grant Program (CSP) Implementation Only Supplement</t>
  </si>
  <si>
    <t>Palms West Charter School</t>
  </si>
  <si>
    <t>500-2987B-9C101</t>
  </si>
  <si>
    <t>S287C190009</t>
  </si>
  <si>
    <t>500-2440B-0CCC9</t>
  </si>
  <si>
    <t>500-2440B-0CCC4</t>
  </si>
  <si>
    <t>21st Century Community Learning Centers-Continuations</t>
  </si>
  <si>
    <t>July 1, 2020 - June 30, 2021</t>
  </si>
  <si>
    <t>FY21</t>
  </si>
  <si>
    <t>500-2121B-1CB01</t>
  </si>
  <si>
    <t>500-2631B-1CB01</t>
  </si>
  <si>
    <t>07/01/20 - 06/30/21</t>
  </si>
  <si>
    <r>
      <t>*Note - To see Indirect Cost Plan - 2020-21 - The School District of Palm Beach County Website/Student &amp; Parents/School Choice/Charter Schools/</t>
    </r>
    <r>
      <rPr>
        <b/>
        <u/>
        <sz val="11"/>
        <color theme="10"/>
        <rFont val="Calibri"/>
        <family val="2"/>
        <scheme val="minor"/>
      </rPr>
      <t>Charter School Fiscal Oversight</t>
    </r>
  </si>
  <si>
    <t>Indirect Cost Plan - 2020-21</t>
  </si>
  <si>
    <t>500-2671B-1CP01</t>
  </si>
  <si>
    <t>500-1611A-1CS01</t>
  </si>
  <si>
    <t>04/09/19 - 07/31/20</t>
  </si>
  <si>
    <t>11/19/18 - 07/31/20</t>
  </si>
  <si>
    <t>Elementary and Secondary School Emergency Relief Fund (ESSER)</t>
  </si>
  <si>
    <t>84.425D CARES ACT</t>
  </si>
  <si>
    <t>S425D200052</t>
  </si>
  <si>
    <t>500-124OA-1C001</t>
  </si>
  <si>
    <t>09/01/20 - 08/31/21</t>
  </si>
  <si>
    <t>S010A200009</t>
  </si>
  <si>
    <t>500-2261B-1C002</t>
  </si>
  <si>
    <t>H027A200024</t>
  </si>
  <si>
    <t>H173A200027</t>
  </si>
  <si>
    <t>S367A200009</t>
  </si>
  <si>
    <t>V048A200009</t>
  </si>
  <si>
    <t>ESSER CARES Act</t>
  </si>
  <si>
    <t>84.425C CARES Act</t>
  </si>
  <si>
    <t>S425C200025</t>
  </si>
  <si>
    <t>500-1230A-1C001</t>
  </si>
  <si>
    <t>GEER Fund CARES Act</t>
  </si>
  <si>
    <t>CARES Act Governor's Emergency Education Relief (GEER) Summer Recovery Program</t>
  </si>
  <si>
    <t>10/315/2022</t>
  </si>
  <si>
    <t xml:space="preserve">84.010A Title I Part A </t>
  </si>
  <si>
    <t>Coronavirus Prevention &amp; Response (Sanitation &amp; Cleaning)</t>
  </si>
  <si>
    <t>GEER Building K-12 CTE Infrastructure</t>
  </si>
  <si>
    <t>561-434-8369</t>
  </si>
  <si>
    <t>CARES Act Governor's Emergency Education Relief GEER Building K-12 CTE Infrastructure</t>
  </si>
  <si>
    <t>84.425C CARES ACT</t>
  </si>
  <si>
    <t>500-1230A-1C002</t>
  </si>
  <si>
    <t>05/28/2020 - 9/30/22</t>
  </si>
  <si>
    <t>CSP Remote Learning and Access</t>
  </si>
  <si>
    <t>Public Charter School Program COVID-19 Distance Learning</t>
  </si>
  <si>
    <t>84.282A Charter Schools</t>
  </si>
  <si>
    <t>500-2987B-1CV15</t>
  </si>
  <si>
    <t>500-2987B-1CV16</t>
  </si>
  <si>
    <t>500-2987B-1CV18</t>
  </si>
  <si>
    <t>500-2987B-1CV19</t>
  </si>
  <si>
    <t>500-2987B-1CV20</t>
  </si>
  <si>
    <t>500-2987B-1CV17</t>
  </si>
  <si>
    <t>Title I Part A UniSIG Supplemental Teacher Allocation</t>
  </si>
  <si>
    <t>84.010A School Improvement</t>
  </si>
  <si>
    <t>500-2261B-1CS01</t>
  </si>
  <si>
    <t>500-2987B-1CV11</t>
  </si>
  <si>
    <t>500-2987B-1CV22</t>
  </si>
  <si>
    <t>500-2987B-1CV12</t>
  </si>
  <si>
    <t>500-2987B-1CV13</t>
  </si>
  <si>
    <t>Coronavirus Prevention &amp; Response GEER (Sanitation &amp; Cleaning)</t>
  </si>
  <si>
    <t>500-1230B-1CS01</t>
  </si>
  <si>
    <t>500-2987B-1CV10</t>
  </si>
  <si>
    <t>500-2987B-1CV14</t>
  </si>
  <si>
    <t>500-2987B-1CV21</t>
  </si>
  <si>
    <t>South Tech Academy</t>
  </si>
  <si>
    <t>Title 1V Part A Student Support and Academic Enrichment</t>
  </si>
  <si>
    <t>S424A200010</t>
  </si>
  <si>
    <t>500-2411A-1C001</t>
  </si>
  <si>
    <t>84.424A Title IV</t>
  </si>
  <si>
    <t>500-2241B-1CT01</t>
  </si>
  <si>
    <t>Title II, Part A:  Supporting Effective Instruction</t>
  </si>
  <si>
    <t>84.367A Title II Tchr and Princ.</t>
  </si>
  <si>
    <t>Title II</t>
  </si>
  <si>
    <t>Title IV Student Support and Academic Enrichment</t>
  </si>
  <si>
    <t>05/28/20 - 9/30/22</t>
  </si>
  <si>
    <t>S287C200009</t>
  </si>
  <si>
    <t>500-2441B-1CCC9</t>
  </si>
  <si>
    <t>CSP</t>
  </si>
  <si>
    <t>Public Charter School Program (CSP) Planning, Program Design and Implementation</t>
  </si>
  <si>
    <t>500-2987B-0C101</t>
  </si>
  <si>
    <t>04/02/20 - 9/30/2021</t>
  </si>
  <si>
    <t>School Improvement Grant Targeting Recidivism</t>
  </si>
  <si>
    <t>84.010 School Improvement</t>
  </si>
  <si>
    <t>S377A150010</t>
  </si>
  <si>
    <t>500-1266B-1CTR1</t>
  </si>
  <si>
    <t>02/01/21 - 07/31/21</t>
  </si>
  <si>
    <t>07/17/20 - 07/16/21</t>
  </si>
  <si>
    <t>06/01/20 - 09/30/22</t>
  </si>
  <si>
    <t>06/01/20 - 04/01/21</t>
  </si>
  <si>
    <t>10/01/19 - 07/31/20</t>
  </si>
  <si>
    <t>ESSER B.E.S.T. High Quality Curriculum for Reading</t>
  </si>
  <si>
    <t>500-1240S-1C001</t>
  </si>
  <si>
    <t>01/01/21 - 07/31/22</t>
  </si>
  <si>
    <t>08/01/20 - 07/31/21</t>
  </si>
  <si>
    <t>Instructional Continuity Plan</t>
  </si>
  <si>
    <t>500-1240C-1C001</t>
  </si>
  <si>
    <t>03/04/21 - 12/31/21</t>
  </si>
  <si>
    <t>K-12 Civic Literacy Booklist</t>
  </si>
  <si>
    <t>500-1230F-1C001</t>
  </si>
  <si>
    <t>07/01/20 - 06/30/22</t>
  </si>
  <si>
    <t>500-2441B-1CCC4</t>
  </si>
  <si>
    <t>84.287 21st CCLC  ESSA</t>
  </si>
  <si>
    <t>ESSER II</t>
  </si>
  <si>
    <t>ESSER II Coronavirus Response &amp; Relief Supplemental (CRRSA)</t>
  </si>
  <si>
    <t>S425D210052</t>
  </si>
  <si>
    <t>500-1241A-1CR01</t>
  </si>
  <si>
    <t>04/02/21 - 09/01/21</t>
  </si>
  <si>
    <t>08/03/20 - 8/31/21</t>
  </si>
  <si>
    <t>10/01/20 - 06/30/21</t>
  </si>
  <si>
    <t>07/01/20 - 6/30/22</t>
  </si>
  <si>
    <t>06/01/20 - 10/31/20</t>
  </si>
  <si>
    <t>05/28/20 - 09/30/22</t>
  </si>
  <si>
    <t>09/06/19 - 09/05/21</t>
  </si>
  <si>
    <t>08/03/20 - 08/31/21</t>
  </si>
  <si>
    <t>Reimbursements as of 6/30/2021</t>
  </si>
  <si>
    <t>07/01/2020 - 08/31/21</t>
  </si>
  <si>
    <t>07/01/20 - 08/31/21</t>
  </si>
  <si>
    <t xml:space="preserve">Title II, Part A:  Supporting Effective Instruction </t>
  </si>
  <si>
    <t>olid</t>
  </si>
  <si>
    <t>GRAND Total ALL Payments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</si>
</sst>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0.000"/>
    <numFmt numFmtId="165" formatCode="mm/dd/yy;@"/>
    <numFmt numFmtId="166" formatCode="&quot;$&quot;#,##0.00"/>
  </numFmts>
  <fonts count="29" x14ac:knownFonts="1">
    <font>
      <sz val="11"/>
      <color theme="1"/>
      <name val="Calibri"/>
      <family val="2"/>
      <scheme val="minor"/>
    </font>
    <font>
      <sz val="11"/>
      <color theme="1"/>
      <name val="Calibri"/>
      <family val="2"/>
      <scheme val="minor"/>
    </font>
    <font>
      <b/>
      <sz val="12"/>
      <color theme="1"/>
      <name val="Times New Roman"/>
      <family val="1"/>
    </font>
    <font>
      <sz val="11"/>
      <color theme="1"/>
      <name val="Times New Roman"/>
      <family val="1"/>
    </font>
    <font>
      <u/>
      <sz val="11"/>
      <color theme="1"/>
      <name val="Times New Roman"/>
      <family val="1"/>
    </font>
    <font>
      <b/>
      <sz val="11"/>
      <color theme="1"/>
      <name val="Times New Roman"/>
      <family val="1"/>
    </font>
    <font>
      <sz val="11"/>
      <name val="Times New Roman"/>
      <family val="1"/>
    </font>
    <font>
      <b/>
      <sz val="11"/>
      <color rgb="FFFF0000"/>
      <name val="Times New Roman"/>
      <family val="1"/>
    </font>
    <font>
      <sz val="11"/>
      <color rgb="FF00B0F0"/>
      <name val="Times New Roman"/>
      <family val="1"/>
    </font>
    <font>
      <sz val="11"/>
      <color rgb="FFFF0000"/>
      <name val="Times New Roman"/>
      <family val="1"/>
    </font>
    <font>
      <b/>
      <sz val="11"/>
      <color indexed="8"/>
      <name val="Times New Roman"/>
      <family val="1"/>
    </font>
    <font>
      <b/>
      <sz val="10"/>
      <color theme="1"/>
      <name val="Times New Roman"/>
      <family val="1"/>
    </font>
    <font>
      <b/>
      <sz val="10"/>
      <color indexed="8"/>
      <name val="Times New Roman"/>
      <family val="1"/>
    </font>
    <font>
      <sz val="11"/>
      <color rgb="FF3D3D3D"/>
      <name val="Times New Roman"/>
      <family val="1"/>
    </font>
    <font>
      <sz val="10"/>
      <name val="Arial"/>
      <family val="2"/>
    </font>
    <font>
      <sz val="10"/>
      <name val="Arial"/>
      <family val="2"/>
    </font>
    <font>
      <sz val="10.5"/>
      <name val="Times New Roman"/>
      <family val="1"/>
    </font>
    <font>
      <sz val="10.5"/>
      <color theme="1"/>
      <name val="Times New Roman"/>
      <family val="1"/>
    </font>
    <font>
      <sz val="10.5"/>
      <color rgb="FF00B0F0"/>
      <name val="Times New Roman"/>
      <family val="1"/>
    </font>
    <font>
      <b/>
      <sz val="8"/>
      <color theme="1"/>
      <name val="Times New Roman"/>
      <family val="1"/>
    </font>
    <font>
      <sz val="10"/>
      <color theme="1"/>
      <name val="Times New Roman"/>
      <family val="1"/>
    </font>
    <font>
      <sz val="8"/>
      <color theme="1"/>
      <name val="Times New Roman"/>
      <family val="1"/>
    </font>
    <font>
      <u/>
      <sz val="11"/>
      <color theme="10"/>
      <name val="Calibri"/>
      <family val="2"/>
      <scheme val="minor"/>
    </font>
    <font>
      <b/>
      <sz val="11"/>
      <color indexed="10"/>
      <name val="Times New Roman"/>
      <family val="1"/>
    </font>
    <font>
      <sz val="9"/>
      <color theme="1"/>
      <name val="Times New Roman"/>
      <family val="1"/>
    </font>
    <font>
      <sz val="12"/>
      <color rgb="FF1155CC"/>
      <name val="Arial"/>
      <family val="2"/>
    </font>
    <font>
      <b/>
      <sz val="9"/>
      <color theme="1"/>
      <name val="Times New Roman"/>
      <family val="1"/>
    </font>
    <font>
      <b/>
      <sz val="11"/>
      <color rgb="FF222222"/>
      <name val="Calibri"/>
      <family val="2"/>
      <scheme val="minor"/>
    </font>
    <font>
      <b/>
      <u/>
      <sz val="11"/>
      <color theme="10"/>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style="thin">
        <color indexed="64"/>
      </right>
      <top/>
      <bottom/>
      <diagonal/>
    </border>
  </borders>
  <cellStyleXfs count="13">
    <xf numFmtId="0" fontId="0" fillId="0" borderId="0"/>
    <xf numFmtId="44" fontId="1" fillId="0" borderId="0" applyFont="0" applyFill="0" applyBorder="0" applyAlignment="0" applyProtection="0"/>
    <xf numFmtId="0" fontId="14" fillId="0" borderId="0"/>
    <xf numFmtId="43" fontId="15" fillId="0" borderId="0" applyFont="0" applyFill="0" applyBorder="0" applyAlignment="0" applyProtection="0"/>
    <xf numFmtId="44" fontId="15" fillId="0" borderId="0" applyFont="0" applyFill="0" applyBorder="0" applyAlignment="0" applyProtection="0"/>
    <xf numFmtId="0" fontId="15" fillId="0" borderId="7"/>
    <xf numFmtId="9" fontId="15" fillId="0" borderId="0" applyFont="0" applyFill="0" applyBorder="0" applyAlignment="0" applyProtection="0"/>
    <xf numFmtId="43" fontId="14" fillId="0" borderId="0" applyFont="0" applyFill="0" applyBorder="0" applyAlignment="0" applyProtection="0"/>
    <xf numFmtId="44" fontId="14" fillId="0" borderId="0" applyFont="0" applyFill="0" applyBorder="0" applyAlignment="0" applyProtection="0"/>
    <xf numFmtId="0" fontId="14" fillId="0" borderId="7"/>
    <xf numFmtId="9" fontId="14" fillId="0" borderId="0" applyFont="0" applyFill="0" applyBorder="0" applyAlignment="0" applyProtection="0"/>
    <xf numFmtId="0" fontId="22" fillId="0" borderId="0" applyNumberFormat="0" applyFill="0" applyBorder="0" applyAlignment="0" applyProtection="0"/>
    <xf numFmtId="43" fontId="1" fillId="0" borderId="0" applyFont="0" applyFill="0" applyBorder="0" applyAlignment="0" applyProtection="0"/>
  </cellStyleXfs>
  <cellXfs count="349">
    <xf numFmtId="0" fontId="0" fillId="0" borderId="0" xfId="0"/>
    <xf numFmtId="0" fontId="2" fillId="0" borderId="0" xfId="0" applyFont="1"/>
    <xf numFmtId="0" fontId="3" fillId="0" borderId="0" xfId="0" applyFont="1"/>
    <xf numFmtId="0" fontId="4" fillId="0" borderId="0" xfId="0" applyFont="1" applyBorder="1"/>
    <xf numFmtId="164" fontId="3" fillId="0" borderId="0" xfId="0" applyNumberFormat="1" applyFont="1" applyAlignment="1">
      <alignment horizontal="left"/>
    </xf>
    <xf numFmtId="0" fontId="5" fillId="0" borderId="0" xfId="0" applyFont="1" applyAlignment="1">
      <alignment horizontal="right"/>
    </xf>
    <xf numFmtId="44" fontId="3" fillId="0" borderId="0" xfId="1" applyFont="1" applyBorder="1"/>
    <xf numFmtId="0" fontId="5" fillId="0" borderId="0" xfId="0" applyFont="1" applyAlignment="1">
      <alignment horizontal="center"/>
    </xf>
    <xf numFmtId="0" fontId="5" fillId="0" borderId="0" xfId="0" applyFont="1"/>
    <xf numFmtId="0" fontId="5" fillId="0" borderId="0" xfId="0" applyFont="1" applyBorder="1" applyAlignment="1">
      <alignment horizontal="center"/>
    </xf>
    <xf numFmtId="0" fontId="3" fillId="0" borderId="1" xfId="0" applyFont="1" applyBorder="1"/>
    <xf numFmtId="0" fontId="3" fillId="0" borderId="0" xfId="0" applyFont="1" applyFill="1" applyBorder="1"/>
    <xf numFmtId="0" fontId="6" fillId="0" borderId="0" xfId="0" applyFont="1"/>
    <xf numFmtId="49" fontId="3" fillId="0" borderId="0" xfId="0" applyNumberFormat="1" applyFont="1" applyAlignment="1">
      <alignment horizontal="center"/>
    </xf>
    <xf numFmtId="0" fontId="3" fillId="0" borderId="0" xfId="0" applyFont="1" applyFill="1"/>
    <xf numFmtId="44" fontId="3" fillId="0" borderId="0" xfId="1" applyFont="1" applyFill="1" applyAlignment="1">
      <alignment horizontal="center"/>
    </xf>
    <xf numFmtId="165" fontId="3" fillId="0" borderId="0" xfId="0" applyNumberFormat="1" applyFont="1" applyFill="1" applyAlignment="1">
      <alignment horizontal="center"/>
    </xf>
    <xf numFmtId="0" fontId="5" fillId="0" borderId="1" xfId="0" applyFont="1" applyFill="1" applyBorder="1"/>
    <xf numFmtId="0" fontId="3" fillId="0" borderId="0" xfId="0" applyFont="1" applyFill="1" applyAlignment="1">
      <alignment wrapText="1"/>
    </xf>
    <xf numFmtId="0" fontId="3" fillId="0" borderId="0" xfId="0" applyFont="1" applyAlignment="1">
      <alignment wrapText="1"/>
    </xf>
    <xf numFmtId="0" fontId="3" fillId="0" borderId="0" xfId="0" applyFont="1" applyFill="1" applyAlignment="1"/>
    <xf numFmtId="0" fontId="5" fillId="0" borderId="0" xfId="0" applyFont="1" applyFill="1" applyBorder="1" applyAlignment="1">
      <alignment horizontal="right"/>
    </xf>
    <xf numFmtId="44" fontId="3" fillId="0" borderId="0" xfId="1" applyNumberFormat="1" applyFont="1"/>
    <xf numFmtId="44" fontId="3" fillId="0" borderId="4" xfId="0" applyNumberFormat="1" applyFont="1" applyBorder="1"/>
    <xf numFmtId="44" fontId="3" fillId="0" borderId="1" xfId="1" applyNumberFormat="1" applyFont="1" applyBorder="1"/>
    <xf numFmtId="44" fontId="3" fillId="0" borderId="1" xfId="0" applyNumberFormat="1" applyFont="1" applyBorder="1"/>
    <xf numFmtId="44" fontId="3" fillId="0" borderId="2" xfId="0" applyNumberFormat="1" applyFont="1" applyBorder="1"/>
    <xf numFmtId="0" fontId="3" fillId="0" borderId="3" xfId="0" applyFont="1" applyBorder="1"/>
    <xf numFmtId="0" fontId="3" fillId="0" borderId="2" xfId="0" applyFont="1" applyBorder="1"/>
    <xf numFmtId="0" fontId="3" fillId="0" borderId="0" xfId="0" applyFont="1" applyBorder="1"/>
    <xf numFmtId="0" fontId="5" fillId="0" borderId="0" xfId="0" applyFont="1" applyAlignment="1">
      <alignment horizontal="left"/>
    </xf>
    <xf numFmtId="0" fontId="3" fillId="0" borderId="0" xfId="0" applyFont="1" applyFill="1" applyAlignment="1">
      <alignment horizontal="left"/>
    </xf>
    <xf numFmtId="44" fontId="3" fillId="0" borderId="1" xfId="1" applyFont="1" applyBorder="1"/>
    <xf numFmtId="165" fontId="3" fillId="0" borderId="0" xfId="0" applyNumberFormat="1" applyFont="1" applyFill="1" applyAlignment="1">
      <alignment horizontal="right"/>
    </xf>
    <xf numFmtId="0" fontId="3" fillId="0" borderId="0" xfId="0" applyFont="1" applyFill="1" applyAlignment="1">
      <alignment vertical="center"/>
    </xf>
    <xf numFmtId="0" fontId="3" fillId="0" borderId="0" xfId="0" applyFont="1" applyFill="1" applyAlignment="1">
      <alignment horizontal="left" vertical="center"/>
    </xf>
    <xf numFmtId="0" fontId="3" fillId="0" borderId="0" xfId="0" applyFont="1" applyAlignment="1"/>
    <xf numFmtId="0" fontId="3" fillId="0" borderId="0" xfId="0" applyFont="1" applyFill="1" applyAlignment="1">
      <alignment horizontal="left" vertical="center" wrapText="1"/>
    </xf>
    <xf numFmtId="44" fontId="3" fillId="0" borderId="0" xfId="1" applyFont="1" applyFill="1" applyAlignment="1"/>
    <xf numFmtId="165" fontId="3" fillId="0" borderId="0" xfId="0" applyNumberFormat="1" applyFont="1" applyFill="1" applyAlignment="1"/>
    <xf numFmtId="49" fontId="3" fillId="0" borderId="0" xfId="0" applyNumberFormat="1" applyFont="1" applyAlignment="1">
      <alignment horizontal="right"/>
    </xf>
    <xf numFmtId="0" fontId="3" fillId="0" borderId="0" xfId="0" applyFont="1" applyFill="1" applyAlignment="1">
      <alignment horizontal="right"/>
    </xf>
    <xf numFmtId="0" fontId="3" fillId="0" borderId="0" xfId="0" applyFont="1" applyBorder="1" applyAlignment="1">
      <alignment horizontal="center"/>
    </xf>
    <xf numFmtId="44" fontId="6" fillId="0" borderId="0" xfId="0" applyNumberFormat="1" applyFont="1" applyFill="1" applyBorder="1" applyAlignment="1">
      <alignment horizontal="center"/>
    </xf>
    <xf numFmtId="0" fontId="10" fillId="0" borderId="0" xfId="0" applyFont="1"/>
    <xf numFmtId="0" fontId="3" fillId="0" borderId="0" xfId="0" applyFont="1" applyAlignment="1">
      <alignment horizontal="left"/>
    </xf>
    <xf numFmtId="0" fontId="3" fillId="0" borderId="0" xfId="0" applyFont="1" applyFill="1" applyAlignment="1">
      <alignment horizontal="left" wrapText="1"/>
    </xf>
    <xf numFmtId="0" fontId="3" fillId="0" borderId="1" xfId="0" applyFont="1" applyBorder="1" applyAlignment="1">
      <alignment horizontal="left"/>
    </xf>
    <xf numFmtId="0" fontId="3" fillId="0" borderId="0" xfId="0" applyFont="1" applyBorder="1" applyAlignment="1">
      <alignment horizontal="left"/>
    </xf>
    <xf numFmtId="0" fontId="16" fillId="0" borderId="0" xfId="0" applyFont="1" applyBorder="1" applyAlignment="1">
      <alignment horizontal="left"/>
    </xf>
    <xf numFmtId="0" fontId="16" fillId="0" borderId="0" xfId="0" applyFont="1" applyAlignment="1">
      <alignment horizontal="left"/>
    </xf>
    <xf numFmtId="0" fontId="17" fillId="0" borderId="0" xfId="0" applyFont="1"/>
    <xf numFmtId="0" fontId="16" fillId="0" borderId="1" xfId="0" applyFont="1" applyBorder="1" applyAlignment="1">
      <alignment horizontal="left"/>
    </xf>
    <xf numFmtId="0" fontId="16" fillId="0" borderId="2" xfId="0" applyFont="1" applyBorder="1" applyAlignment="1">
      <alignment horizontal="left"/>
    </xf>
    <xf numFmtId="0" fontId="17" fillId="0" borderId="1" xfId="0" applyFont="1" applyBorder="1"/>
    <xf numFmtId="0" fontId="17" fillId="0" borderId="2" xfId="0" applyFont="1" applyBorder="1"/>
    <xf numFmtId="0" fontId="17" fillId="0" borderId="0" xfId="0" applyFont="1" applyBorder="1"/>
    <xf numFmtId="0" fontId="18" fillId="0" borderId="1" xfId="0" applyFont="1" applyBorder="1" applyAlignment="1">
      <alignment horizontal="left"/>
    </xf>
    <xf numFmtId="0" fontId="18" fillId="0" borderId="0" xfId="0" applyFont="1"/>
    <xf numFmtId="0" fontId="18" fillId="0" borderId="0" xfId="0" applyFont="1" applyBorder="1" applyAlignment="1">
      <alignment horizontal="left"/>
    </xf>
    <xf numFmtId="0" fontId="9" fillId="0" borderId="0" xfId="0" applyFont="1" applyBorder="1" applyAlignment="1">
      <alignment horizontal="center"/>
    </xf>
    <xf numFmtId="44" fontId="3" fillId="0" borderId="0" xfId="0" applyNumberFormat="1" applyFont="1" applyBorder="1" applyAlignment="1">
      <alignment horizontal="right"/>
    </xf>
    <xf numFmtId="0" fontId="3" fillId="0" borderId="0" xfId="0" applyFont="1" applyFill="1" applyBorder="1" applyAlignment="1">
      <alignment horizontal="left"/>
    </xf>
    <xf numFmtId="0" fontId="3" fillId="0" borderId="0" xfId="0" applyFont="1" applyFill="1" applyBorder="1" applyAlignment="1">
      <alignment horizontal="left" vertical="center"/>
    </xf>
    <xf numFmtId="0" fontId="3" fillId="0" borderId="0" xfId="0" applyFont="1" applyFill="1" applyBorder="1" applyAlignment="1"/>
    <xf numFmtId="0" fontId="5" fillId="0" borderId="0" xfId="0" applyFont="1" applyFill="1" applyBorder="1"/>
    <xf numFmtId="44" fontId="3" fillId="0" borderId="0" xfId="1" applyNumberFormat="1" applyFont="1" applyFill="1"/>
    <xf numFmtId="44" fontId="3" fillId="0" borderId="0" xfId="1" applyFont="1"/>
    <xf numFmtId="44" fontId="3" fillId="0" borderId="0" xfId="0" applyNumberFormat="1" applyFont="1"/>
    <xf numFmtId="44" fontId="3" fillId="0" borderId="0" xfId="0" applyNumberFormat="1" applyFont="1" applyBorder="1"/>
    <xf numFmtId="44" fontId="3" fillId="0" borderId="3" xfId="0" applyNumberFormat="1" applyFont="1" applyBorder="1"/>
    <xf numFmtId="44" fontId="3" fillId="0" borderId="0" xfId="1" applyFont="1" applyFill="1"/>
    <xf numFmtId="44" fontId="3" fillId="0" borderId="0" xfId="0" applyNumberFormat="1" applyFont="1" applyBorder="1" applyAlignment="1">
      <alignment horizontal="center"/>
    </xf>
    <xf numFmtId="14" fontId="5" fillId="0" borderId="0" xfId="0" applyNumberFormat="1" applyFont="1" applyAlignment="1">
      <alignment horizontal="center"/>
    </xf>
    <xf numFmtId="166" fontId="3" fillId="0" borderId="0" xfId="0" applyNumberFormat="1" applyFont="1"/>
    <xf numFmtId="44" fontId="3" fillId="0" borderId="0" xfId="1" applyFont="1" applyBorder="1" applyAlignment="1">
      <alignment horizontal="center"/>
    </xf>
    <xf numFmtId="44" fontId="3" fillId="0" borderId="1" xfId="1" applyNumberFormat="1" applyFont="1" applyFill="1" applyBorder="1"/>
    <xf numFmtId="0" fontId="6" fillId="0" borderId="0" xfId="0" applyNumberFormat="1" applyFont="1" applyFill="1" applyAlignment="1">
      <alignment horizontal="left"/>
    </xf>
    <xf numFmtId="44" fontId="6" fillId="0" borderId="0" xfId="0" applyNumberFormat="1" applyFont="1"/>
    <xf numFmtId="166" fontId="3" fillId="0" borderId="3" xfId="0" applyNumberFormat="1" applyFont="1" applyBorder="1"/>
    <xf numFmtId="44" fontId="3" fillId="0" borderId="0" xfId="1" applyNumberFormat="1" applyFont="1" applyBorder="1"/>
    <xf numFmtId="44" fontId="3" fillId="0" borderId="0" xfId="1" applyNumberFormat="1" applyFont="1" applyFill="1" applyBorder="1"/>
    <xf numFmtId="39" fontId="3" fillId="0" borderId="0" xfId="0" applyNumberFormat="1" applyFont="1" applyBorder="1" applyAlignment="1">
      <alignment horizontal="right"/>
    </xf>
    <xf numFmtId="44" fontId="6" fillId="0" borderId="3" xfId="0" applyNumberFormat="1" applyFont="1" applyBorder="1" applyAlignment="1">
      <alignment horizontal="center"/>
    </xf>
    <xf numFmtId="44" fontId="5" fillId="0" borderId="0" xfId="0" applyNumberFormat="1" applyFont="1" applyBorder="1" applyAlignment="1">
      <alignment horizontal="center"/>
    </xf>
    <xf numFmtId="0" fontId="5" fillId="2" borderId="10" xfId="0" applyFont="1" applyFill="1" applyBorder="1" applyAlignment="1">
      <alignment horizontal="center" wrapText="1"/>
    </xf>
    <xf numFmtId="0" fontId="5" fillId="2" borderId="9" xfId="0" applyFont="1" applyFill="1" applyBorder="1" applyAlignment="1">
      <alignment horizontal="center" wrapText="1"/>
    </xf>
    <xf numFmtId="0" fontId="5" fillId="2" borderId="11" xfId="0" applyFont="1" applyFill="1" applyBorder="1" applyAlignment="1">
      <alignment horizontal="center"/>
    </xf>
    <xf numFmtId="0" fontId="5" fillId="2" borderId="12" xfId="0" applyFont="1" applyFill="1" applyBorder="1" applyAlignment="1">
      <alignment horizontal="center"/>
    </xf>
    <xf numFmtId="0" fontId="5" fillId="2" borderId="13" xfId="0" applyFont="1" applyFill="1" applyBorder="1" applyAlignment="1">
      <alignment horizontal="center"/>
    </xf>
    <xf numFmtId="0" fontId="7" fillId="0" borderId="0" xfId="0" applyFont="1"/>
    <xf numFmtId="0" fontId="5" fillId="3" borderId="11" xfId="0" applyFont="1" applyFill="1" applyBorder="1" applyAlignment="1">
      <alignment horizontal="center"/>
    </xf>
    <xf numFmtId="0" fontId="5" fillId="3" borderId="12" xfId="0" applyFont="1" applyFill="1" applyBorder="1" applyAlignment="1">
      <alignment horizontal="center"/>
    </xf>
    <xf numFmtId="0" fontId="5" fillId="3" borderId="13" xfId="0" applyFont="1" applyFill="1" applyBorder="1" applyAlignment="1">
      <alignment horizontal="center"/>
    </xf>
    <xf numFmtId="164" fontId="3" fillId="0" borderId="0" xfId="0" applyNumberFormat="1" applyFont="1" applyAlignment="1">
      <alignment horizontal="center"/>
    </xf>
    <xf numFmtId="0" fontId="3" fillId="0" borderId="0" xfId="0" applyFont="1" applyAlignment="1">
      <alignment horizontal="center"/>
    </xf>
    <xf numFmtId="0" fontId="3" fillId="0" borderId="1" xfId="0" applyFont="1" applyBorder="1" applyAlignment="1">
      <alignment horizontal="center"/>
    </xf>
    <xf numFmtId="0" fontId="3" fillId="0" borderId="0" xfId="0" applyFont="1" applyAlignment="1">
      <alignment horizontal="center" wrapText="1"/>
    </xf>
    <xf numFmtId="0" fontId="5" fillId="0" borderId="1" xfId="0" applyFont="1" applyBorder="1" applyAlignment="1">
      <alignment horizontal="center"/>
    </xf>
    <xf numFmtId="0" fontId="9" fillId="3" borderId="13" xfId="0" applyFont="1" applyFill="1" applyBorder="1" applyAlignment="1">
      <alignment horizontal="center"/>
    </xf>
    <xf numFmtId="0" fontId="8" fillId="3" borderId="13" xfId="0" applyFont="1" applyFill="1" applyBorder="1" applyAlignment="1">
      <alignment horizontal="center"/>
    </xf>
    <xf numFmtId="0" fontId="3" fillId="0" borderId="0" xfId="0" applyFont="1" applyBorder="1" applyAlignment="1">
      <alignment horizontal="left" wrapText="1"/>
    </xf>
    <xf numFmtId="0" fontId="3" fillId="0" borderId="0" xfId="0" applyFont="1" applyBorder="1" applyAlignment="1"/>
    <xf numFmtId="0" fontId="4" fillId="0" borderId="0" xfId="0" applyFont="1"/>
    <xf numFmtId="164" fontId="5" fillId="0" borderId="0" xfId="0" applyNumberFormat="1" applyFont="1" applyAlignment="1">
      <alignment horizontal="center"/>
    </xf>
    <xf numFmtId="44" fontId="5" fillId="0" borderId="0" xfId="0" applyNumberFormat="1" applyFont="1" applyBorder="1"/>
    <xf numFmtId="0" fontId="3" fillId="0" borderId="0" xfId="0" applyFont="1" applyAlignment="1">
      <alignment wrapText="1"/>
    </xf>
    <xf numFmtId="0" fontId="20" fillId="0" borderId="0" xfId="0" applyFont="1" applyBorder="1"/>
    <xf numFmtId="0" fontId="3" fillId="0" borderId="0" xfId="0" applyFont="1" applyBorder="1" applyAlignment="1">
      <alignment wrapText="1"/>
    </xf>
    <xf numFmtId="44" fontId="9" fillId="0" borderId="0" xfId="0" applyNumberFormat="1" applyFont="1" applyBorder="1" applyAlignment="1">
      <alignment horizontal="center"/>
    </xf>
    <xf numFmtId="0" fontId="19" fillId="2" borderId="10" xfId="0" applyFont="1" applyFill="1" applyBorder="1" applyAlignment="1">
      <alignment horizontal="center" wrapText="1"/>
    </xf>
    <xf numFmtId="0" fontId="3" fillId="0" borderId="0" xfId="0" applyFont="1" applyAlignment="1">
      <alignment horizontal="left" vertical="top" wrapText="1"/>
    </xf>
    <xf numFmtId="0" fontId="3" fillId="0" borderId="8" xfId="0" applyFont="1" applyBorder="1"/>
    <xf numFmtId="164" fontId="3" fillId="0" borderId="0" xfId="0" applyNumberFormat="1" applyFont="1" applyAlignment="1">
      <alignment horizontal="center" wrapText="1"/>
    </xf>
    <xf numFmtId="0" fontId="3" fillId="0" borderId="0" xfId="0" applyFont="1" applyAlignment="1">
      <alignment horizontal="left" vertical="top" wrapText="1"/>
    </xf>
    <xf numFmtId="0" fontId="0" fillId="0" borderId="0" xfId="0" applyAlignment="1">
      <alignment wrapText="1"/>
    </xf>
    <xf numFmtId="0" fontId="3" fillId="0" borderId="0" xfId="0" applyFont="1" applyAlignment="1">
      <alignment wrapText="1"/>
    </xf>
    <xf numFmtId="0" fontId="5" fillId="0" borderId="1" xfId="0" applyFont="1" applyBorder="1" applyAlignment="1">
      <alignment horizontal="center"/>
    </xf>
    <xf numFmtId="0" fontId="3" fillId="0" borderId="0" xfId="0" applyFont="1" applyAlignment="1">
      <alignment vertical="top" wrapText="1"/>
    </xf>
    <xf numFmtId="165" fontId="3" fillId="0" borderId="0" xfId="0" applyNumberFormat="1" applyFont="1"/>
    <xf numFmtId="0" fontId="3" fillId="0" borderId="0" xfId="0" applyFont="1" applyAlignment="1">
      <alignment horizontal="left" vertical="top" wrapText="1"/>
    </xf>
    <xf numFmtId="0" fontId="0" fillId="0" borderId="0" xfId="0" applyAlignment="1">
      <alignment wrapText="1"/>
    </xf>
    <xf numFmtId="0" fontId="3" fillId="0" borderId="0" xfId="0" applyFont="1" applyAlignment="1">
      <alignment wrapText="1"/>
    </xf>
    <xf numFmtId="0" fontId="5" fillId="0" borderId="1" xfId="0" applyFont="1" applyBorder="1" applyAlignment="1">
      <alignment horizontal="center"/>
    </xf>
    <xf numFmtId="0" fontId="3" fillId="0" borderId="0" xfId="0" applyFont="1" applyAlignment="1">
      <alignment vertical="top" wrapText="1"/>
    </xf>
    <xf numFmtId="0" fontId="3" fillId="0" borderId="0" xfId="0" quotePrefix="1" applyFont="1"/>
    <xf numFmtId="0" fontId="21" fillId="0" borderId="0" xfId="0" applyFont="1"/>
    <xf numFmtId="10" fontId="21" fillId="0" borderId="0" xfId="0" applyNumberFormat="1" applyFont="1"/>
    <xf numFmtId="0" fontId="22" fillId="0" borderId="0" xfId="11" quotePrefix="1"/>
    <xf numFmtId="164" fontId="3" fillId="0" borderId="0" xfId="0" quotePrefix="1" applyNumberFormat="1" applyFont="1" applyAlignment="1">
      <alignment horizontal="center"/>
    </xf>
    <xf numFmtId="0" fontId="5" fillId="0" borderId="1" xfId="0" applyFont="1" applyBorder="1" applyAlignment="1">
      <alignment horizontal="center"/>
    </xf>
    <xf numFmtId="4" fontId="5" fillId="0" borderId="1" xfId="0" applyNumberFormat="1" applyFont="1" applyBorder="1" applyAlignment="1">
      <alignment horizontal="center" wrapText="1"/>
    </xf>
    <xf numFmtId="43" fontId="3" fillId="0" borderId="0" xfId="12" applyFont="1"/>
    <xf numFmtId="14" fontId="3" fillId="0" borderId="0" xfId="0" applyNumberFormat="1" applyFont="1" applyFill="1" applyBorder="1" applyAlignment="1">
      <alignment horizontal="center"/>
    </xf>
    <xf numFmtId="14" fontId="3" fillId="0" borderId="0" xfId="0" applyNumberFormat="1" applyFont="1" applyFill="1" applyBorder="1" applyAlignment="1">
      <alignment horizontal="center" vertical="center"/>
    </xf>
    <xf numFmtId="44" fontId="5" fillId="0" borderId="0" xfId="1" applyFont="1"/>
    <xf numFmtId="164" fontId="3" fillId="0" borderId="8" xfId="0" applyNumberFormat="1" applyFont="1" applyBorder="1" applyAlignment="1">
      <alignment horizontal="center"/>
    </xf>
    <xf numFmtId="43" fontId="3" fillId="0" borderId="8" xfId="12" applyFont="1" applyFill="1" applyBorder="1" applyAlignment="1">
      <alignment wrapText="1"/>
    </xf>
    <xf numFmtId="43" fontId="3" fillId="0" borderId="0" xfId="12" applyFont="1" applyFill="1" applyAlignment="1">
      <alignment horizontal="right"/>
    </xf>
    <xf numFmtId="43" fontId="5" fillId="0" borderId="0" xfId="12" applyFont="1" applyFill="1" applyBorder="1" applyAlignment="1">
      <alignment horizontal="right"/>
    </xf>
    <xf numFmtId="14" fontId="3" fillId="0" borderId="8" xfId="1" applyNumberFormat="1" applyFont="1" applyFill="1" applyBorder="1" applyAlignment="1">
      <alignment horizontal="center"/>
    </xf>
    <xf numFmtId="44" fontId="3" fillId="0" borderId="0" xfId="1" applyFont="1" applyFill="1" applyBorder="1" applyAlignment="1"/>
    <xf numFmtId="165" fontId="3" fillId="0" borderId="0" xfId="0" applyNumberFormat="1" applyFont="1" applyFill="1" applyBorder="1" applyAlignment="1"/>
    <xf numFmtId="0" fontId="3" fillId="0" borderId="0" xfId="0" applyFont="1" applyFill="1" applyBorder="1" applyAlignment="1">
      <alignment vertical="top" wrapText="1"/>
    </xf>
    <xf numFmtId="0" fontId="3" fillId="0" borderId="0" xfId="0" quotePrefix="1" applyFont="1" applyBorder="1" applyAlignment="1">
      <alignment horizontal="center"/>
    </xf>
    <xf numFmtId="0" fontId="5" fillId="0" borderId="1" xfId="0" applyFont="1" applyBorder="1" applyAlignment="1">
      <alignment horizontal="center" wrapText="1"/>
    </xf>
    <xf numFmtId="43" fontId="5" fillId="0" borderId="0" xfId="12" applyFont="1" applyBorder="1" applyAlignment="1">
      <alignment horizontal="center"/>
    </xf>
    <xf numFmtId="43" fontId="3" fillId="0" borderId="0" xfId="12" applyFont="1" applyBorder="1" applyAlignment="1">
      <alignment horizontal="center"/>
    </xf>
    <xf numFmtId="14" fontId="3" fillId="0" borderId="0" xfId="0" applyNumberFormat="1" applyFont="1" applyBorder="1" applyAlignment="1">
      <alignment horizontal="center"/>
    </xf>
    <xf numFmtId="44" fontId="3" fillId="0" borderId="0" xfId="0" quotePrefix="1" applyNumberFormat="1" applyFont="1" applyBorder="1"/>
    <xf numFmtId="44" fontId="9" fillId="0" borderId="0" xfId="0" applyNumberFormat="1" applyFont="1"/>
    <xf numFmtId="44" fontId="6" fillId="0" borderId="2" xfId="0" applyNumberFormat="1" applyFont="1" applyBorder="1" applyAlignment="1">
      <alignment horizontal="center"/>
    </xf>
    <xf numFmtId="44" fontId="3" fillId="0" borderId="1" xfId="0" applyNumberFormat="1" applyFont="1" applyBorder="1" applyAlignment="1">
      <alignment horizontal="right"/>
    </xf>
    <xf numFmtId="0" fontId="5" fillId="0" borderId="0" xfId="0" applyFont="1" applyBorder="1" applyAlignment="1">
      <alignment horizontal="center"/>
    </xf>
    <xf numFmtId="43" fontId="9" fillId="0" borderId="0" xfId="12" applyFont="1" applyBorder="1" applyAlignment="1">
      <alignment horizontal="center"/>
    </xf>
    <xf numFmtId="14" fontId="3" fillId="0" borderId="0" xfId="0" applyNumberFormat="1" applyFont="1" applyAlignment="1">
      <alignment horizontal="center"/>
    </xf>
    <xf numFmtId="164" fontId="3" fillId="0" borderId="0" xfId="0" applyNumberFormat="1" applyFont="1" applyBorder="1" applyAlignment="1">
      <alignment horizontal="center"/>
    </xf>
    <xf numFmtId="49" fontId="3" fillId="0" borderId="0" xfId="0" applyNumberFormat="1" applyFont="1" applyBorder="1" applyAlignment="1">
      <alignment horizontal="right"/>
    </xf>
    <xf numFmtId="164" fontId="3" fillId="0" borderId="8" xfId="0" applyNumberFormat="1" applyFont="1" applyBorder="1" applyAlignment="1">
      <alignment horizontal="left"/>
    </xf>
    <xf numFmtId="49" fontId="3" fillId="0" borderId="0" xfId="0" applyNumberFormat="1" applyFont="1" applyAlignment="1">
      <alignment horizontal="left"/>
    </xf>
    <xf numFmtId="14" fontId="3" fillId="0" borderId="0" xfId="1" applyNumberFormat="1" applyFont="1" applyFill="1" applyAlignment="1">
      <alignment horizontal="center"/>
    </xf>
    <xf numFmtId="43" fontId="5" fillId="0" borderId="0" xfId="12" applyFont="1"/>
    <xf numFmtId="0" fontId="5" fillId="0" borderId="1" xfId="0" applyFont="1" applyBorder="1" applyAlignment="1">
      <alignment horizontal="center"/>
    </xf>
    <xf numFmtId="0" fontId="3" fillId="0" borderId="8" xfId="0" applyFont="1" applyBorder="1" applyAlignment="1">
      <alignment horizontal="left"/>
    </xf>
    <xf numFmtId="44" fontId="6" fillId="0" borderId="14" xfId="0" applyNumberFormat="1" applyFont="1" applyBorder="1" applyAlignment="1">
      <alignment horizontal="center"/>
    </xf>
    <xf numFmtId="43" fontId="3" fillId="0" borderId="2" xfId="12" applyFont="1" applyBorder="1"/>
    <xf numFmtId="44" fontId="3" fillId="0" borderId="1" xfId="0" applyNumberFormat="1" applyFont="1" applyBorder="1" applyAlignment="1">
      <alignment horizontal="center"/>
    </xf>
    <xf numFmtId="44" fontId="6" fillId="0" borderId="1" xfId="0" applyNumberFormat="1" applyFont="1" applyFill="1" applyBorder="1" applyAlignment="1">
      <alignment horizontal="center"/>
    </xf>
    <xf numFmtId="0" fontId="16" fillId="0" borderId="8" xfId="0" applyFont="1" applyBorder="1" applyAlignment="1">
      <alignment horizontal="left"/>
    </xf>
    <xf numFmtId="0" fontId="16" fillId="0" borderId="4" xfId="0" applyFont="1" applyBorder="1" applyAlignment="1">
      <alignment horizontal="left"/>
    </xf>
    <xf numFmtId="0" fontId="16" fillId="0" borderId="3" xfId="0" applyFont="1" applyBorder="1" applyAlignment="1">
      <alignment horizontal="left"/>
    </xf>
    <xf numFmtId="0" fontId="18" fillId="0" borderId="8" xfId="0" applyFont="1" applyBorder="1" applyAlignment="1">
      <alignment horizontal="left"/>
    </xf>
    <xf numFmtId="0" fontId="17" fillId="0" borderId="3" xfId="0" applyFont="1" applyBorder="1"/>
    <xf numFmtId="44" fontId="16" fillId="0" borderId="8" xfId="0" applyNumberFormat="1" applyFont="1" applyBorder="1" applyAlignment="1">
      <alignment horizontal="left"/>
    </xf>
    <xf numFmtId="44" fontId="16" fillId="0" borderId="4" xfId="0" applyNumberFormat="1" applyFont="1" applyBorder="1" applyAlignment="1">
      <alignment horizontal="left"/>
    </xf>
    <xf numFmtId="0" fontId="18" fillId="0" borderId="8" xfId="0" applyFont="1" applyBorder="1"/>
    <xf numFmtId="0" fontId="17" fillId="0" borderId="8" xfId="0" applyFont="1" applyBorder="1"/>
    <xf numFmtId="0" fontId="17" fillId="0" borderId="4" xfId="0" applyFont="1" applyBorder="1"/>
    <xf numFmtId="0" fontId="3" fillId="0" borderId="5" xfId="0" applyFont="1" applyBorder="1"/>
    <xf numFmtId="0" fontId="3" fillId="0" borderId="6" xfId="0" applyFont="1" applyBorder="1"/>
    <xf numFmtId="0" fontId="5" fillId="0" borderId="6" xfId="0" applyFont="1" applyFill="1" applyBorder="1"/>
    <xf numFmtId="0" fontId="3" fillId="0" borderId="0" xfId="0" applyFont="1" applyAlignment="1">
      <alignment horizontal="left" vertical="top" wrapText="1"/>
    </xf>
    <xf numFmtId="0" fontId="5" fillId="0" borderId="1" xfId="0" applyFont="1" applyBorder="1" applyAlignment="1">
      <alignment horizontal="center"/>
    </xf>
    <xf numFmtId="0" fontId="3" fillId="0" borderId="0" xfId="0" applyFont="1" applyAlignment="1">
      <alignment horizontal="left" vertical="top" wrapText="1"/>
    </xf>
    <xf numFmtId="0" fontId="5" fillId="0" borderId="1" xfId="0" applyFont="1" applyBorder="1" applyAlignment="1">
      <alignment horizontal="center"/>
    </xf>
    <xf numFmtId="43" fontId="3" fillId="0" borderId="1" xfId="12" applyFont="1" applyBorder="1" applyAlignment="1">
      <alignment horizontal="center"/>
    </xf>
    <xf numFmtId="43" fontId="9" fillId="0" borderId="1" xfId="12" applyFont="1" applyBorder="1" applyAlignment="1">
      <alignment horizontal="center"/>
    </xf>
    <xf numFmtId="14" fontId="23" fillId="0" borderId="0" xfId="0" applyNumberFormat="1" applyFont="1" applyAlignment="1">
      <alignment horizontal="center"/>
    </xf>
    <xf numFmtId="0" fontId="10" fillId="0" borderId="0" xfId="0" applyFont="1" applyAlignment="1">
      <alignment horizontal="center"/>
    </xf>
    <xf numFmtId="43" fontId="3" fillId="0" borderId="0" xfId="12" applyFont="1" applyFill="1" applyAlignment="1">
      <alignment horizontal="center"/>
    </xf>
    <xf numFmtId="14" fontId="3" fillId="0" borderId="0" xfId="12" applyNumberFormat="1" applyFont="1" applyAlignment="1">
      <alignment horizontal="center"/>
    </xf>
    <xf numFmtId="10" fontId="24" fillId="0" borderId="0" xfId="0" applyNumberFormat="1" applyFont="1"/>
    <xf numFmtId="165" fontId="24" fillId="0" borderId="0" xfId="0" applyNumberFormat="1" applyFont="1"/>
    <xf numFmtId="0" fontId="24" fillId="0" borderId="0" xfId="0" applyFont="1" applyAlignment="1">
      <alignment horizontal="center"/>
    </xf>
    <xf numFmtId="165" fontId="24" fillId="0" borderId="0" xfId="0" applyNumberFormat="1" applyFont="1" applyAlignment="1">
      <alignment horizontal="center"/>
    </xf>
    <xf numFmtId="0" fontId="3" fillId="0" borderId="0" xfId="0" applyFont="1" applyAlignment="1">
      <alignment horizontal="left" vertical="top" wrapText="1"/>
    </xf>
    <xf numFmtId="0" fontId="5" fillId="0" borderId="1" xfId="0" applyFont="1" applyBorder="1" applyAlignment="1">
      <alignment horizontal="center"/>
    </xf>
    <xf numFmtId="0" fontId="22" fillId="0" borderId="0" xfId="11"/>
    <xf numFmtId="0" fontId="3" fillId="0" borderId="0" xfId="0" applyFont="1" applyAlignment="1">
      <alignment horizontal="left" vertical="top" wrapText="1"/>
    </xf>
    <xf numFmtId="0" fontId="3" fillId="0" borderId="0" xfId="0" applyFont="1" applyAlignment="1">
      <alignment wrapText="1"/>
    </xf>
    <xf numFmtId="0" fontId="3" fillId="0" borderId="0" xfId="0" applyFont="1" applyAlignment="1">
      <alignment horizontal="left" vertical="top" wrapText="1"/>
    </xf>
    <xf numFmtId="0" fontId="25" fillId="0" borderId="0" xfId="0" applyFont="1"/>
    <xf numFmtId="0" fontId="3" fillId="0" borderId="0" xfId="0" applyFont="1" applyAlignment="1">
      <alignment horizontal="left" vertical="top" wrapText="1"/>
    </xf>
    <xf numFmtId="0" fontId="5" fillId="0" borderId="1" xfId="0" applyFont="1" applyBorder="1" applyAlignment="1">
      <alignment horizontal="center"/>
    </xf>
    <xf numFmtId="164" fontId="3" fillId="0" borderId="0" xfId="0" applyNumberFormat="1" applyFont="1" applyAlignment="1">
      <alignment wrapText="1"/>
    </xf>
    <xf numFmtId="0" fontId="3" fillId="0" borderId="0" xfId="0" applyFont="1" applyAlignment="1">
      <alignment wrapText="1"/>
    </xf>
    <xf numFmtId="0" fontId="3" fillId="0" borderId="0" xfId="0" applyFont="1" applyAlignment="1">
      <alignment horizontal="left" wrapText="1"/>
    </xf>
    <xf numFmtId="0" fontId="24" fillId="0" borderId="0" xfId="0" applyFont="1"/>
    <xf numFmtId="10" fontId="24" fillId="0" borderId="0" xfId="0" applyNumberFormat="1" applyFont="1" applyAlignment="1">
      <alignment horizontal="left"/>
    </xf>
    <xf numFmtId="10" fontId="24" fillId="0" borderId="0" xfId="0" applyNumberFormat="1" applyFont="1" applyAlignment="1">
      <alignment horizontal="center"/>
    </xf>
    <xf numFmtId="0" fontId="26" fillId="0" borderId="0" xfId="0" applyFont="1" applyAlignment="1">
      <alignment horizontal="center"/>
    </xf>
    <xf numFmtId="165" fontId="24" fillId="0" borderId="0" xfId="0" applyNumberFormat="1" applyFont="1" applyAlignment="1">
      <alignment horizontal="left"/>
    </xf>
    <xf numFmtId="44" fontId="6" fillId="0" borderId="0" xfId="0" applyNumberFormat="1" applyFont="1" applyBorder="1"/>
    <xf numFmtId="44" fontId="3" fillId="0" borderId="1" xfId="0" applyNumberFormat="1" applyFont="1" applyFill="1" applyBorder="1"/>
    <xf numFmtId="0" fontId="3" fillId="0" borderId="0" xfId="0" applyFont="1" applyAlignment="1">
      <alignment horizontal="left" vertical="top" wrapText="1"/>
    </xf>
    <xf numFmtId="0" fontId="3" fillId="0" borderId="0" xfId="0" applyFont="1" applyAlignment="1">
      <alignment wrapText="1"/>
    </xf>
    <xf numFmtId="0" fontId="5" fillId="0" borderId="1" xfId="0" applyFont="1" applyBorder="1" applyAlignment="1">
      <alignment horizontal="center"/>
    </xf>
    <xf numFmtId="0" fontId="3" fillId="0" borderId="0" xfId="0" applyFont="1" applyAlignment="1">
      <alignment vertical="top" wrapText="1"/>
    </xf>
    <xf numFmtId="39" fontId="3" fillId="0" borderId="0" xfId="0" applyNumberFormat="1" applyFont="1"/>
    <xf numFmtId="44" fontId="3" fillId="0" borderId="3" xfId="1" applyFont="1" applyBorder="1"/>
    <xf numFmtId="44" fontId="3" fillId="0" borderId="1" xfId="1" applyFont="1" applyBorder="1" applyAlignment="1">
      <alignment horizontal="center"/>
    </xf>
    <xf numFmtId="166" fontId="3" fillId="0" borderId="0" xfId="0" applyNumberFormat="1" applyFont="1" applyAlignment="1">
      <alignment horizontal="center"/>
    </xf>
    <xf numFmtId="166" fontId="3" fillId="0" borderId="4" xfId="0" applyNumberFormat="1" applyFont="1" applyBorder="1"/>
    <xf numFmtId="164" fontId="3" fillId="0" borderId="1" xfId="0" applyNumberFormat="1" applyFont="1" applyBorder="1" applyAlignment="1">
      <alignment horizontal="center"/>
    </xf>
    <xf numFmtId="0" fontId="5" fillId="0" borderId="1" xfId="0" applyFont="1" applyBorder="1" applyAlignment="1">
      <alignment horizontal="right"/>
    </xf>
    <xf numFmtId="0" fontId="22" fillId="0" borderId="1" xfId="11" applyBorder="1"/>
    <xf numFmtId="164" fontId="3" fillId="0" borderId="1" xfId="0" applyNumberFormat="1" applyFont="1" applyBorder="1" applyAlignment="1">
      <alignment horizontal="left"/>
    </xf>
    <xf numFmtId="0" fontId="22" fillId="0" borderId="1" xfId="11" quotePrefix="1" applyBorder="1"/>
    <xf numFmtId="49" fontId="27" fillId="0" borderId="0" xfId="0" applyNumberFormat="1" applyFont="1"/>
    <xf numFmtId="0" fontId="3" fillId="0" borderId="0" xfId="0" applyFont="1" applyAlignment="1">
      <alignment horizontal="left" vertical="top" wrapText="1"/>
    </xf>
    <xf numFmtId="0" fontId="3" fillId="0" borderId="0" xfId="0" applyFont="1" applyAlignment="1">
      <alignment horizontal="center" wrapText="1"/>
    </xf>
    <xf numFmtId="0" fontId="3" fillId="0" borderId="0" xfId="0" applyFont="1" applyAlignment="1">
      <alignment horizontal="center" wrapText="1"/>
    </xf>
    <xf numFmtId="0" fontId="3" fillId="0" borderId="0" xfId="0" applyFont="1" applyAlignment="1">
      <alignment horizontal="center" wrapText="1"/>
    </xf>
    <xf numFmtId="0" fontId="3" fillId="0" borderId="0" xfId="0" applyFont="1" applyAlignment="1">
      <alignment horizontal="left" vertical="top" wrapText="1"/>
    </xf>
    <xf numFmtId="0" fontId="3" fillId="0" borderId="0" xfId="0" applyFont="1" applyAlignment="1">
      <alignment wrapText="1"/>
    </xf>
    <xf numFmtId="0" fontId="3" fillId="0" borderId="0" xfId="0" applyFont="1" applyAlignment="1">
      <alignment horizontal="center" wrapText="1"/>
    </xf>
    <xf numFmtId="0" fontId="3" fillId="0" borderId="0" xfId="0" applyFont="1" applyAlignment="1">
      <alignment horizontal="left" vertical="top" wrapText="1"/>
    </xf>
    <xf numFmtId="0" fontId="3" fillId="0" borderId="0" xfId="0" applyFont="1" applyAlignment="1">
      <alignment horizontal="left" vertical="top" wrapText="1"/>
    </xf>
    <xf numFmtId="0" fontId="3" fillId="0" borderId="0" xfId="0" applyFont="1" applyAlignment="1">
      <alignment wrapText="1"/>
    </xf>
    <xf numFmtId="0" fontId="5" fillId="0" borderId="1" xfId="0" applyFont="1" applyBorder="1" applyAlignment="1">
      <alignment horizontal="center"/>
    </xf>
    <xf numFmtId="44" fontId="9" fillId="0" borderId="0" xfId="0" applyNumberFormat="1" applyFont="1" applyBorder="1"/>
    <xf numFmtId="0" fontId="3" fillId="0" borderId="0" xfId="0" applyFont="1" applyAlignment="1">
      <alignment horizontal="left" vertical="top" wrapText="1"/>
    </xf>
    <xf numFmtId="0" fontId="22" fillId="0" borderId="0" xfId="11" applyAlignment="1">
      <alignment horizontal="left" vertical="top" wrapText="1"/>
    </xf>
    <xf numFmtId="0" fontId="3" fillId="0" borderId="0" xfId="0" applyFont="1" applyAlignment="1">
      <alignment horizontal="center" wrapText="1"/>
    </xf>
    <xf numFmtId="0" fontId="3" fillId="0" borderId="0" xfId="0" applyFont="1" applyAlignment="1">
      <alignment horizontal="left" vertical="top" wrapText="1"/>
    </xf>
    <xf numFmtId="0" fontId="3" fillId="0" borderId="0" xfId="0" applyFont="1" applyAlignment="1">
      <alignment wrapText="1"/>
    </xf>
    <xf numFmtId="0" fontId="5" fillId="0" borderId="1" xfId="0" applyFont="1" applyBorder="1" applyAlignment="1">
      <alignment horizontal="center"/>
    </xf>
    <xf numFmtId="0" fontId="3" fillId="0" borderId="0" xfId="0" applyFont="1" applyAlignment="1">
      <alignment horizontal="left" vertical="top" wrapText="1"/>
    </xf>
    <xf numFmtId="0" fontId="5" fillId="0" borderId="1" xfId="0" applyFont="1" applyBorder="1" applyAlignment="1">
      <alignment horizontal="center"/>
    </xf>
    <xf numFmtId="0" fontId="22" fillId="0" borderId="0" xfId="11" applyAlignment="1">
      <alignment horizontal="left"/>
    </xf>
    <xf numFmtId="0" fontId="3" fillId="0" borderId="0" xfId="0" applyFont="1" applyAlignment="1">
      <alignment wrapText="1"/>
    </xf>
    <xf numFmtId="0" fontId="3" fillId="0" borderId="0" xfId="0" applyFont="1" applyAlignment="1">
      <alignment wrapText="1"/>
    </xf>
    <xf numFmtId="0" fontId="3" fillId="0" borderId="0" xfId="0" applyFont="1" applyAlignment="1">
      <alignment horizontal="left" vertical="top" wrapText="1"/>
    </xf>
    <xf numFmtId="0" fontId="3" fillId="0" borderId="0" xfId="0" applyFont="1" applyAlignment="1">
      <alignment wrapText="1"/>
    </xf>
    <xf numFmtId="0" fontId="3" fillId="0" borderId="0" xfId="0" applyFont="1" applyAlignment="1">
      <alignment wrapText="1"/>
    </xf>
    <xf numFmtId="0" fontId="3" fillId="0" borderId="0" xfId="0" applyFont="1" applyAlignment="1">
      <alignment horizontal="left" wrapText="1"/>
    </xf>
    <xf numFmtId="165" fontId="3" fillId="0" borderId="0" xfId="0" applyNumberFormat="1" applyFont="1" applyAlignment="1">
      <alignment horizontal="center"/>
    </xf>
    <xf numFmtId="44" fontId="3" fillId="0" borderId="0" xfId="0" applyNumberFormat="1" applyFont="1" applyBorder="1" applyAlignment="1"/>
    <xf numFmtId="44" fontId="3" fillId="0" borderId="0" xfId="1" applyNumberFormat="1" applyFont="1" applyBorder="1" applyAlignment="1"/>
    <xf numFmtId="44" fontId="3" fillId="0" borderId="3" xfId="0" applyNumberFormat="1" applyFont="1" applyBorder="1" applyAlignment="1"/>
    <xf numFmtId="44" fontId="3" fillId="0" borderId="1" xfId="1" applyNumberFormat="1" applyFont="1" applyBorder="1" applyAlignment="1"/>
    <xf numFmtId="44" fontId="3" fillId="0" borderId="1" xfId="0" applyNumberFormat="1" applyFont="1" applyBorder="1" applyAlignment="1"/>
    <xf numFmtId="0" fontId="3" fillId="0" borderId="0" xfId="0" applyFont="1" applyAlignment="1">
      <alignment wrapText="1"/>
    </xf>
    <xf numFmtId="10" fontId="24" fillId="0" borderId="0" xfId="0" applyNumberFormat="1" applyFont="1" applyAlignment="1"/>
    <xf numFmtId="165" fontId="3" fillId="0" borderId="0" xfId="0" applyNumberFormat="1" applyFont="1" applyAlignment="1"/>
    <xf numFmtId="14" fontId="24" fillId="0" borderId="0" xfId="0" applyNumberFormat="1" applyFont="1"/>
    <xf numFmtId="0" fontId="22" fillId="0" borderId="0" xfId="11" applyAlignment="1">
      <alignment horizontal="left"/>
    </xf>
    <xf numFmtId="0" fontId="3" fillId="0" borderId="0" xfId="0" applyFont="1" applyAlignment="1">
      <alignment horizontal="left" vertical="top" wrapText="1"/>
    </xf>
    <xf numFmtId="0" fontId="3" fillId="0" borderId="0" xfId="0" applyFont="1" applyAlignment="1">
      <alignment wrapText="1"/>
    </xf>
    <xf numFmtId="0" fontId="22" fillId="0" borderId="0" xfId="0" applyFont="1"/>
    <xf numFmtId="0" fontId="22" fillId="0" borderId="0" xfId="11" applyFont="1" applyAlignment="1">
      <alignment horizontal="left"/>
    </xf>
    <xf numFmtId="0" fontId="22" fillId="0" borderId="1" xfId="0" applyFont="1" applyBorder="1"/>
    <xf numFmtId="0" fontId="22" fillId="0" borderId="0" xfId="11" applyAlignment="1"/>
    <xf numFmtId="0" fontId="3" fillId="0" borderId="8" xfId="0" applyFont="1" applyBorder="1" applyAlignment="1">
      <alignment horizontal="center"/>
    </xf>
    <xf numFmtId="0" fontId="22" fillId="0" borderId="0" xfId="0" applyFont="1" applyBorder="1"/>
    <xf numFmtId="0" fontId="22" fillId="0" borderId="0" xfId="11" applyFont="1" applyBorder="1"/>
    <xf numFmtId="0" fontId="22" fillId="0" borderId="0" xfId="11" applyBorder="1"/>
    <xf numFmtId="0" fontId="22" fillId="0" borderId="8" xfId="11" applyBorder="1"/>
    <xf numFmtId="0" fontId="22" fillId="0" borderId="0" xfId="11" applyAlignment="1">
      <alignment horizontal="left"/>
    </xf>
    <xf numFmtId="0" fontId="3" fillId="0" borderId="0" xfId="0" applyFont="1" applyAlignment="1">
      <alignment horizontal="left" vertical="top" wrapText="1"/>
    </xf>
    <xf numFmtId="0" fontId="3" fillId="0" borderId="0" xfId="0" applyFont="1" applyAlignment="1">
      <alignment wrapText="1"/>
    </xf>
    <xf numFmtId="0" fontId="22" fillId="0" borderId="0" xfId="11" applyFont="1" applyAlignment="1">
      <alignment horizontal="left"/>
    </xf>
    <xf numFmtId="0" fontId="13" fillId="0" borderId="0" xfId="0" applyFont="1" applyAlignment="1">
      <alignment horizontal="left" wrapText="1"/>
    </xf>
    <xf numFmtId="4" fontId="3" fillId="0" borderId="0" xfId="0" applyNumberFormat="1" applyFont="1" applyBorder="1"/>
    <xf numFmtId="44" fontId="3" fillId="0" borderId="8" xfId="0" applyNumberFormat="1" applyFont="1" applyBorder="1"/>
    <xf numFmtId="10" fontId="3" fillId="0" borderId="0" xfId="0" applyNumberFormat="1" applyFont="1"/>
    <xf numFmtId="0" fontId="3" fillId="0" borderId="0" xfId="0" applyFont="1" applyAlignment="1">
      <alignment wrapText="1"/>
    </xf>
    <xf numFmtId="0" fontId="3" fillId="0" borderId="0" xfId="0" applyFont="1" applyAlignment="1">
      <alignment horizontal="left" wrapText="1"/>
    </xf>
    <xf numFmtId="165" fontId="24" fillId="0" borderId="0" xfId="0" applyNumberFormat="1" applyFont="1" applyAlignment="1">
      <alignment horizontal="right"/>
    </xf>
    <xf numFmtId="0" fontId="3" fillId="0" borderId="0" xfId="0" applyFont="1" applyAlignment="1">
      <alignment horizontal="left" vertical="top" wrapText="1"/>
    </xf>
    <xf numFmtId="0" fontId="3" fillId="0" borderId="0" xfId="0" applyFont="1" applyAlignment="1">
      <alignment horizontal="left" vertical="top" wrapText="1"/>
    </xf>
    <xf numFmtId="0" fontId="3" fillId="0" borderId="0" xfId="0" applyFont="1" applyAlignment="1">
      <alignment wrapText="1"/>
    </xf>
    <xf numFmtId="4" fontId="3" fillId="0" borderId="0" xfId="0" applyNumberFormat="1" applyFont="1"/>
    <xf numFmtId="0" fontId="3" fillId="0" borderId="0" xfId="0" applyFont="1" applyAlignment="1">
      <alignment horizontal="left" wrapText="1"/>
    </xf>
    <xf numFmtId="0" fontId="3" fillId="0" borderId="0" xfId="0" applyFont="1" applyAlignment="1">
      <alignment horizontal="left" vertical="top" wrapText="1"/>
    </xf>
    <xf numFmtId="40" fontId="3" fillId="0" borderId="0" xfId="0" applyNumberFormat="1" applyFont="1" applyBorder="1"/>
    <xf numFmtId="40" fontId="3" fillId="0" borderId="3" xfId="0" applyNumberFormat="1" applyFont="1" applyBorder="1"/>
    <xf numFmtId="40" fontId="3" fillId="0" borderId="0" xfId="0" applyNumberFormat="1" applyFont="1"/>
    <xf numFmtId="43" fontId="3" fillId="0" borderId="0" xfId="1" applyNumberFormat="1" applyFont="1" applyBorder="1"/>
    <xf numFmtId="0" fontId="22" fillId="0" borderId="0" xfId="11" applyAlignment="1">
      <alignment horizontal="left"/>
    </xf>
    <xf numFmtId="0" fontId="3" fillId="0" borderId="0" xfId="0" applyFont="1" applyAlignment="1">
      <alignment horizontal="left" vertical="top" wrapText="1"/>
    </xf>
    <xf numFmtId="0" fontId="3" fillId="0" borderId="0" xfId="0" applyFont="1" applyAlignment="1">
      <alignment wrapText="1"/>
    </xf>
    <xf numFmtId="0" fontId="5" fillId="0" borderId="1" xfId="0" applyFont="1" applyBorder="1" applyAlignment="1">
      <alignment horizontal="center"/>
    </xf>
    <xf numFmtId="0" fontId="3" fillId="0" borderId="0" xfId="0" applyFont="1" applyAlignment="1">
      <alignment vertical="top" wrapText="1"/>
    </xf>
    <xf numFmtId="0" fontId="22" fillId="0" borderId="0" xfId="11" applyFont="1" applyAlignment="1">
      <alignment horizontal="left"/>
    </xf>
    <xf numFmtId="0" fontId="3" fillId="0" borderId="0" xfId="0" applyFont="1" applyAlignment="1">
      <alignment horizontal="left" vertical="top" wrapText="1"/>
    </xf>
    <xf numFmtId="0" fontId="6" fillId="0" borderId="15" xfId="0" quotePrefix="1" applyFont="1" applyFill="1" applyBorder="1" applyAlignment="1">
      <alignment horizontal="left"/>
    </xf>
    <xf numFmtId="0" fontId="3" fillId="0" borderId="0" xfId="0" applyFont="1" applyAlignment="1">
      <alignment horizontal="left" wrapText="1"/>
    </xf>
    <xf numFmtId="0" fontId="3" fillId="0" borderId="0" xfId="0" applyFont="1" applyAlignment="1">
      <alignment wrapText="1"/>
    </xf>
    <xf numFmtId="0" fontId="3" fillId="0" borderId="0" xfId="0" applyFont="1" applyAlignment="1">
      <alignment horizontal="left" wrapText="1"/>
    </xf>
    <xf numFmtId="0" fontId="3" fillId="0" borderId="0" xfId="0" applyFont="1" applyAlignment="1">
      <alignment horizontal="left" vertical="top" wrapText="1"/>
    </xf>
    <xf numFmtId="0" fontId="3" fillId="0" borderId="0" xfId="0" applyFont="1" applyAlignment="1">
      <alignment horizontal="left" vertical="top" wrapText="1"/>
    </xf>
    <xf numFmtId="165" fontId="24" fillId="0" borderId="0" xfId="0" applyNumberFormat="1" applyFont="1" applyAlignment="1"/>
    <xf numFmtId="10" fontId="24" fillId="0" borderId="0" xfId="0" applyNumberFormat="1" applyFont="1" applyAlignment="1">
      <alignment horizontal="right"/>
    </xf>
    <xf numFmtId="0" fontId="3" fillId="0" borderId="0" xfId="0" applyFont="1" applyAlignment="1">
      <alignment horizontal="left" vertical="top" wrapText="1"/>
    </xf>
    <xf numFmtId="0" fontId="3" fillId="0" borderId="0" xfId="0" applyFont="1" applyAlignment="1">
      <alignment horizontal="left" wrapText="1"/>
    </xf>
    <xf numFmtId="40" fontId="3" fillId="0" borderId="8" xfId="0" applyNumberFormat="1" applyFont="1" applyBorder="1"/>
    <xf numFmtId="40" fontId="3" fillId="0" borderId="4" xfId="0" applyNumberFormat="1" applyFont="1" applyBorder="1"/>
    <xf numFmtId="0" fontId="3" fillId="0" borderId="0" xfId="0" applyFont="1" applyAlignment="1">
      <alignment horizontal="left" vertical="top" wrapText="1"/>
    </xf>
    <xf numFmtId="0" fontId="3" fillId="0" borderId="0" xfId="0" applyFont="1" applyAlignment="1">
      <alignment horizontal="left" wrapText="1"/>
    </xf>
    <xf numFmtId="40" fontId="3" fillId="0" borderId="0" xfId="1" applyNumberFormat="1" applyFont="1" applyBorder="1"/>
    <xf numFmtId="40" fontId="3" fillId="0" borderId="0" xfId="0" applyNumberFormat="1" applyFont="1" applyProtection="1">
      <protection locked="0"/>
    </xf>
    <xf numFmtId="39" fontId="6" fillId="0" borderId="0" xfId="0" applyNumberFormat="1" applyFont="1" applyBorder="1"/>
    <xf numFmtId="0" fontId="3" fillId="0" borderId="0" xfId="0" applyFont="1" applyAlignment="1">
      <alignment horizontal="left" vertical="top" wrapText="1"/>
    </xf>
    <xf numFmtId="0" fontId="3" fillId="0" borderId="0" xfId="0" applyFont="1" applyAlignment="1">
      <alignment horizontal="left" wrapText="1"/>
    </xf>
    <xf numFmtId="0" fontId="3" fillId="4" borderId="0" xfId="0" applyFont="1" applyFill="1"/>
    <xf numFmtId="44" fontId="3" fillId="4" borderId="0" xfId="0" applyNumberFormat="1" applyFont="1" applyFill="1"/>
    <xf numFmtId="44" fontId="16" fillId="4" borderId="0" xfId="0" applyNumberFormat="1" applyFont="1" applyFill="1" applyAlignment="1">
      <alignment horizontal="left"/>
    </xf>
    <xf numFmtId="44" fontId="0" fillId="4" borderId="0" xfId="0" applyNumberFormat="1" applyFill="1"/>
    <xf numFmtId="166" fontId="16" fillId="4" borderId="0" xfId="0" applyNumberFormat="1" applyFont="1" applyFill="1" applyAlignment="1">
      <alignment horizontal="right"/>
    </xf>
    <xf numFmtId="44" fontId="16" fillId="4" borderId="0" xfId="0" applyNumberFormat="1" applyFont="1" applyFill="1" applyAlignment="1">
      <alignment horizontal="right"/>
    </xf>
    <xf numFmtId="0" fontId="3" fillId="4" borderId="0" xfId="0" applyFont="1" applyFill="1" applyAlignment="1"/>
    <xf numFmtId="44" fontId="16" fillId="0" borderId="0" xfId="0" applyNumberFormat="1" applyFont="1" applyFill="1" applyAlignment="1">
      <alignment horizontal="right"/>
    </xf>
    <xf numFmtId="0" fontId="22" fillId="0" borderId="0" xfId="11" applyAlignment="1">
      <alignment horizontal="left"/>
    </xf>
    <xf numFmtId="0" fontId="11" fillId="0" borderId="1" xfId="0" applyFont="1" applyBorder="1" applyAlignment="1">
      <alignment horizontal="center"/>
    </xf>
    <xf numFmtId="0" fontId="12" fillId="0" borderId="0" xfId="0" applyFont="1" applyAlignment="1">
      <alignment horizontal="center"/>
    </xf>
    <xf numFmtId="0" fontId="3" fillId="0" borderId="0" xfId="0" applyFont="1" applyBorder="1" applyAlignment="1">
      <alignment horizontal="left" vertical="top" wrapText="1"/>
    </xf>
    <xf numFmtId="0" fontId="0" fillId="0" borderId="0" xfId="0" applyAlignment="1">
      <alignment horizontal="left" vertical="top" wrapText="1"/>
    </xf>
    <xf numFmtId="0" fontId="3" fillId="0" borderId="0" xfId="0" applyFont="1" applyAlignment="1">
      <alignment horizontal="left" vertical="top" wrapText="1"/>
    </xf>
    <xf numFmtId="0" fontId="3" fillId="0" borderId="8" xfId="0" applyFont="1" applyFill="1" applyBorder="1" applyAlignment="1"/>
    <xf numFmtId="0" fontId="0" fillId="0" borderId="8" xfId="0" applyBorder="1" applyAlignment="1"/>
    <xf numFmtId="0" fontId="3" fillId="0" borderId="0" xfId="0" applyFont="1" applyAlignment="1">
      <alignment wrapText="1"/>
    </xf>
    <xf numFmtId="0" fontId="5" fillId="0" borderId="1" xfId="0" applyFont="1" applyBorder="1" applyAlignment="1">
      <alignment horizontal="center"/>
    </xf>
    <xf numFmtId="0" fontId="3" fillId="0" borderId="0" xfId="0" applyFont="1" applyAlignment="1">
      <alignment horizontal="left" wrapText="1"/>
    </xf>
    <xf numFmtId="44" fontId="3" fillId="0" borderId="8" xfId="1" applyFont="1" applyFill="1" applyBorder="1" applyAlignment="1">
      <alignment horizontal="left"/>
    </xf>
    <xf numFmtId="0" fontId="3" fillId="0" borderId="0" xfId="0" applyFont="1" applyAlignment="1">
      <alignment vertical="top" wrapText="1"/>
    </xf>
    <xf numFmtId="0" fontId="22" fillId="0" borderId="0" xfId="11" applyAlignment="1">
      <alignment horizontal="left" vertical="top" wrapText="1"/>
    </xf>
    <xf numFmtId="0" fontId="22" fillId="0" borderId="0" xfId="11" applyFont="1" applyAlignment="1">
      <alignment horizontal="left"/>
    </xf>
    <xf numFmtId="0" fontId="3" fillId="0" borderId="8" xfId="0" applyFont="1" applyBorder="1" applyAlignment="1">
      <alignment horizontal="left"/>
    </xf>
  </cellXfs>
  <cellStyles count="13">
    <cellStyle name="Comma" xfId="12" builtinId="3"/>
    <cellStyle name="Comma 2" xfId="3"/>
    <cellStyle name="Comma 2 2" xfId="7"/>
    <cellStyle name="Currency" xfId="1" builtinId="4"/>
    <cellStyle name="Currency 2" xfId="4"/>
    <cellStyle name="Currency 2 2" xfId="8"/>
    <cellStyle name="Hyperlink" xfId="11" builtinId="8"/>
    <cellStyle name="n_nvision1" xfId="5"/>
    <cellStyle name="n_nvision1 2" xfId="9"/>
    <cellStyle name="Normal" xfId="0" builtinId="0"/>
    <cellStyle name="Normal 2" xfId="2"/>
    <cellStyle name="Percent 2" xfId="6"/>
    <cellStyle name="Percent 2 2"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2.ed.gov/policy/fund/guid/uniform-guidance/index.html"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2.ed.gov/policy/fund/guid/uniform-guidance/index.html"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www2.ed.gov/policy/fund/guid/uniform-guidance/index.html"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www2.ed.gov/policy/fund/guid/uniform-guidance/index.html"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2.ed.gov/policy/fund/guid/uniform-guidance/index.html"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s://www2.ed.gov/policy/fund/guid/uniform-guidance/index.html"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www2.ed.gov/policy/fund/guid/uniform-guidance/index.html"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s://www2.ed.gov/policy/fund/guid/uniform-guidance/index.html"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s://www2.ed.gov/policy/fund/guid/uniform-guidance/index.html" TargetMode="Externa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s://www2.ed.gov/policy/fund/guid/uniform-guidance/index.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2.ed.gov/policy/fund/guid/uniform-guidance/index.html" TargetMode="Externa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s://www2.ed.gov/policy/fund/guid/uniform-guidance/index.html" TargetMode="External"/></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https://www2.ed.gov/policy/fund/guid/uniform-guidance/index.html" TargetMode="External"/></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hyperlink" Target="https://www2.ed.gov/policy/fund/guid/uniform-guidance/index.html" TargetMode="External"/></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hyperlink" Target="https://www2.ed.gov/policy/fund/guid/uniform-guidance/index.html" TargetMode="External"/></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https://www2.ed.gov/policy/fund/guid/uniform-guidance/index.html" TargetMode="External"/></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hyperlink" Target="https://www2.ed.gov/policy/fund/guid/uniform-guidance/index.html" TargetMode="External"/></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hyperlink" Target="https://www2.ed.gov/policy/fund/guid/uniform-guidance/index.html" TargetMode="External"/></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hyperlink" Target="https://www2.ed.gov/policy/fund/guid/uniform-guidance/index.html" TargetMode="External"/></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hyperlink" Target="https://www2.ed.gov/policy/fund/guid/uniform-guidance/index.html" TargetMode="External"/></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hyperlink" Target="https://www2.ed.gov/policy/fund/guid/uniform-guidance/index.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2.ed.gov/policy/fund/guid/uniform-guidance/index.html" TargetMode="External"/></Relationships>
</file>

<file path=xl/worksheets/_rels/sheet30.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hyperlink" Target="https://www2.ed.gov/policy/fund/guid/uniform-guidance/index.html" TargetMode="External"/></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s://www2.ed.gov/policy/fund/guid/uniform-guidance/index.html" TargetMode="External"/></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hyperlink" Target="https://www2.ed.gov/policy/fund/guid/uniform-guidance/index.html" TargetMode="External"/></Relationships>
</file>

<file path=xl/worksheets/_rels/sheet33.xml.rels><?xml version="1.0" encoding="UTF-8" standalone="yes"?>
<Relationships xmlns="http://schemas.openxmlformats.org/package/2006/relationships"><Relationship Id="rId2" Type="http://schemas.openxmlformats.org/officeDocument/2006/relationships/printerSettings" Target="../printerSettings/printerSettings33.bin"/><Relationship Id="rId1" Type="http://schemas.openxmlformats.org/officeDocument/2006/relationships/hyperlink" Target="https://www2.ed.gov/policy/fund/guid/uniform-guidance/index.html" TargetMode="External"/></Relationships>
</file>

<file path=xl/worksheets/_rels/sheet34.xml.rels><?xml version="1.0" encoding="UTF-8" standalone="yes"?>
<Relationships xmlns="http://schemas.openxmlformats.org/package/2006/relationships"><Relationship Id="rId2" Type="http://schemas.openxmlformats.org/officeDocument/2006/relationships/printerSettings" Target="../printerSettings/printerSettings34.bin"/><Relationship Id="rId1" Type="http://schemas.openxmlformats.org/officeDocument/2006/relationships/hyperlink" Target="https://www2.ed.gov/policy/fund/guid/uniform-guidance/index.html" TargetMode="External"/></Relationships>
</file>

<file path=xl/worksheets/_rels/sheet35.xml.rels><?xml version="1.0" encoding="UTF-8" standalone="yes"?>
<Relationships xmlns="http://schemas.openxmlformats.org/package/2006/relationships"><Relationship Id="rId2" Type="http://schemas.openxmlformats.org/officeDocument/2006/relationships/printerSettings" Target="../printerSettings/printerSettings35.bin"/><Relationship Id="rId1" Type="http://schemas.openxmlformats.org/officeDocument/2006/relationships/hyperlink" Target="https://www2.ed.gov/policy/fund/guid/uniform-guidance/index.html" TargetMode="External"/></Relationships>
</file>

<file path=xl/worksheets/_rels/sheet36.xml.rels><?xml version="1.0" encoding="UTF-8" standalone="yes"?>
<Relationships xmlns="http://schemas.openxmlformats.org/package/2006/relationships"><Relationship Id="rId2" Type="http://schemas.openxmlformats.org/officeDocument/2006/relationships/printerSettings" Target="../printerSettings/printerSettings36.bin"/><Relationship Id="rId1" Type="http://schemas.openxmlformats.org/officeDocument/2006/relationships/hyperlink" Target="https://www2.ed.gov/policy/fund/guid/uniform-guidance/index.html" TargetMode="External"/></Relationships>
</file>

<file path=xl/worksheets/_rels/sheet37.xml.rels><?xml version="1.0" encoding="UTF-8" standalone="yes"?>
<Relationships xmlns="http://schemas.openxmlformats.org/package/2006/relationships"><Relationship Id="rId2" Type="http://schemas.openxmlformats.org/officeDocument/2006/relationships/printerSettings" Target="../printerSettings/printerSettings37.bin"/><Relationship Id="rId1" Type="http://schemas.openxmlformats.org/officeDocument/2006/relationships/hyperlink" Target="https://www2.ed.gov/policy/fund/guid/uniform-guidance/index.html" TargetMode="External"/></Relationships>
</file>

<file path=xl/worksheets/_rels/sheet38.xml.rels><?xml version="1.0" encoding="UTF-8" standalone="yes"?>
<Relationships xmlns="http://schemas.openxmlformats.org/package/2006/relationships"><Relationship Id="rId2" Type="http://schemas.openxmlformats.org/officeDocument/2006/relationships/printerSettings" Target="../printerSettings/printerSettings38.bin"/><Relationship Id="rId1" Type="http://schemas.openxmlformats.org/officeDocument/2006/relationships/hyperlink" Target="https://www2.ed.gov/policy/fund/guid/uniform-guidance/index.html" TargetMode="External"/></Relationships>
</file>

<file path=xl/worksheets/_rels/sheet39.xml.rels><?xml version="1.0" encoding="UTF-8" standalone="yes"?>
<Relationships xmlns="http://schemas.openxmlformats.org/package/2006/relationships"><Relationship Id="rId2" Type="http://schemas.openxmlformats.org/officeDocument/2006/relationships/printerSettings" Target="../printerSettings/printerSettings39.bin"/><Relationship Id="rId1" Type="http://schemas.openxmlformats.org/officeDocument/2006/relationships/hyperlink" Target="https://www2.ed.gov/policy/fund/guid/uniform-guidance/index.html"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palmbeachschools.net/accounting/wp-content/uploads/sites/40/2018/11/00-FY-2019-FDOE-IC-Rate-Ltr-2018-04-11.pdf" TargetMode="External"/><Relationship Id="rId1" Type="http://schemas.openxmlformats.org/officeDocument/2006/relationships/hyperlink" Target="https://www2.ed.gov/policy/fund/guid/uniform-guidance/index.html" TargetMode="External"/></Relationships>
</file>

<file path=xl/worksheets/_rels/sheet40.xml.rels><?xml version="1.0" encoding="UTF-8" standalone="yes"?>
<Relationships xmlns="http://schemas.openxmlformats.org/package/2006/relationships"><Relationship Id="rId2" Type="http://schemas.openxmlformats.org/officeDocument/2006/relationships/printerSettings" Target="../printerSettings/printerSettings40.bin"/><Relationship Id="rId1" Type="http://schemas.openxmlformats.org/officeDocument/2006/relationships/hyperlink" Target="https://www2.ed.gov/policy/fund/guid/uniform-guidance/index.html" TargetMode="External"/></Relationships>
</file>

<file path=xl/worksheets/_rels/sheet41.xml.rels><?xml version="1.0" encoding="UTF-8" standalone="yes"?>
<Relationships xmlns="http://schemas.openxmlformats.org/package/2006/relationships"><Relationship Id="rId2" Type="http://schemas.openxmlformats.org/officeDocument/2006/relationships/printerSettings" Target="../printerSettings/printerSettings41.bin"/><Relationship Id="rId1" Type="http://schemas.openxmlformats.org/officeDocument/2006/relationships/hyperlink" Target="https://www2.ed.gov/policy/fund/guid/uniform-guidance/index.html" TargetMode="External"/></Relationships>
</file>

<file path=xl/worksheets/_rels/sheet42.xml.rels><?xml version="1.0" encoding="UTF-8" standalone="yes"?>
<Relationships xmlns="http://schemas.openxmlformats.org/package/2006/relationships"><Relationship Id="rId2" Type="http://schemas.openxmlformats.org/officeDocument/2006/relationships/printerSettings" Target="../printerSettings/printerSettings42.bin"/><Relationship Id="rId1" Type="http://schemas.openxmlformats.org/officeDocument/2006/relationships/hyperlink" Target="https://www2.ed.gov/policy/fund/guid/uniform-guidance/index.html" TargetMode="External"/></Relationships>
</file>

<file path=xl/worksheets/_rels/sheet43.xml.rels><?xml version="1.0" encoding="UTF-8" standalone="yes"?>
<Relationships xmlns="http://schemas.openxmlformats.org/package/2006/relationships"><Relationship Id="rId2" Type="http://schemas.openxmlformats.org/officeDocument/2006/relationships/printerSettings" Target="../printerSettings/printerSettings43.bin"/><Relationship Id="rId1" Type="http://schemas.openxmlformats.org/officeDocument/2006/relationships/hyperlink" Target="https://www2.ed.gov/policy/fund/guid/uniform-guidance/index.html" TargetMode="External"/></Relationships>
</file>

<file path=xl/worksheets/_rels/sheet44.xml.rels><?xml version="1.0" encoding="UTF-8" standalone="yes"?>
<Relationships xmlns="http://schemas.openxmlformats.org/package/2006/relationships"><Relationship Id="rId2" Type="http://schemas.openxmlformats.org/officeDocument/2006/relationships/printerSettings" Target="../printerSettings/printerSettings44.bin"/><Relationship Id="rId1" Type="http://schemas.openxmlformats.org/officeDocument/2006/relationships/hyperlink" Target="https://www2.ed.gov/policy/fund/guid/uniform-guidance/index.html" TargetMode="External"/></Relationships>
</file>

<file path=xl/worksheets/_rels/sheet45.xml.rels><?xml version="1.0" encoding="UTF-8" standalone="yes"?>
<Relationships xmlns="http://schemas.openxmlformats.org/package/2006/relationships"><Relationship Id="rId2" Type="http://schemas.openxmlformats.org/officeDocument/2006/relationships/printerSettings" Target="../printerSettings/printerSettings45.bin"/><Relationship Id="rId1" Type="http://schemas.openxmlformats.org/officeDocument/2006/relationships/hyperlink" Target="https://www2.ed.gov/policy/fund/guid/uniform-guidance/index.html" TargetMode="External"/></Relationships>
</file>

<file path=xl/worksheets/_rels/sheet46.xml.rels><?xml version="1.0" encoding="UTF-8" standalone="yes"?>
<Relationships xmlns="http://schemas.openxmlformats.org/package/2006/relationships"><Relationship Id="rId2" Type="http://schemas.openxmlformats.org/officeDocument/2006/relationships/printerSettings" Target="../printerSettings/printerSettings46.bin"/><Relationship Id="rId1" Type="http://schemas.openxmlformats.org/officeDocument/2006/relationships/hyperlink" Target="https://www2.ed.gov/policy/fund/guid/uniform-guidance/index.html" TargetMode="External"/></Relationships>
</file>

<file path=xl/worksheets/_rels/sheet47.xml.rels><?xml version="1.0" encoding="UTF-8" standalone="yes"?>
<Relationships xmlns="http://schemas.openxmlformats.org/package/2006/relationships"><Relationship Id="rId2" Type="http://schemas.openxmlformats.org/officeDocument/2006/relationships/printerSettings" Target="../printerSettings/printerSettings47.bin"/><Relationship Id="rId1" Type="http://schemas.openxmlformats.org/officeDocument/2006/relationships/hyperlink" Target="https://www2.ed.gov/policy/fund/guid/uniform-guidance/index.html" TargetMode="External"/></Relationships>
</file>

<file path=xl/worksheets/_rels/sheet48.xml.rels><?xml version="1.0" encoding="UTF-8" standalone="yes"?>
<Relationships xmlns="http://schemas.openxmlformats.org/package/2006/relationships"><Relationship Id="rId2" Type="http://schemas.openxmlformats.org/officeDocument/2006/relationships/printerSettings" Target="../printerSettings/printerSettings48.bin"/><Relationship Id="rId1" Type="http://schemas.openxmlformats.org/officeDocument/2006/relationships/hyperlink" Target="https://www2.ed.gov/policy/fund/guid/uniform-guidance/index.html" TargetMode="External"/></Relationships>
</file>

<file path=xl/worksheets/_rels/sheet49.xml.rels><?xml version="1.0" encoding="UTF-8" standalone="yes"?>
<Relationships xmlns="http://schemas.openxmlformats.org/package/2006/relationships"><Relationship Id="rId2" Type="http://schemas.openxmlformats.org/officeDocument/2006/relationships/printerSettings" Target="../printerSettings/printerSettings49.bin"/><Relationship Id="rId1" Type="http://schemas.openxmlformats.org/officeDocument/2006/relationships/hyperlink" Target="https://www2.ed.gov/policy/fund/guid/uniform-guidance/index.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2.ed.gov/policy/fund/guid/uniform-guidance/index.html" TargetMode="External"/></Relationships>
</file>

<file path=xl/worksheets/_rels/sheet50.xml.rels><?xml version="1.0" encoding="UTF-8" standalone="yes"?>
<Relationships xmlns="http://schemas.openxmlformats.org/package/2006/relationships"><Relationship Id="rId2" Type="http://schemas.openxmlformats.org/officeDocument/2006/relationships/printerSettings" Target="../printerSettings/printerSettings50.bin"/><Relationship Id="rId1" Type="http://schemas.openxmlformats.org/officeDocument/2006/relationships/hyperlink" Target="https://www2.ed.gov/policy/fund/guid/uniform-guidance/index.html" TargetMode="External"/></Relationships>
</file>

<file path=xl/worksheets/_rels/sheet51.xml.rels><?xml version="1.0" encoding="UTF-8" standalone="yes"?>
<Relationships xmlns="http://schemas.openxmlformats.org/package/2006/relationships"><Relationship Id="rId2" Type="http://schemas.openxmlformats.org/officeDocument/2006/relationships/printerSettings" Target="../printerSettings/printerSettings51.bin"/><Relationship Id="rId1" Type="http://schemas.openxmlformats.org/officeDocument/2006/relationships/hyperlink" Target="https://www2.ed.gov/policy/fund/guid/uniform-guidance/index.html" TargetMode="External"/></Relationships>
</file>

<file path=xl/worksheets/_rels/sheet52.xml.rels><?xml version="1.0" encoding="UTF-8" standalone="yes"?>
<Relationships xmlns="http://schemas.openxmlformats.org/package/2006/relationships"><Relationship Id="rId2" Type="http://schemas.openxmlformats.org/officeDocument/2006/relationships/printerSettings" Target="../printerSettings/printerSettings52.bin"/><Relationship Id="rId1" Type="http://schemas.openxmlformats.org/officeDocument/2006/relationships/hyperlink" Target="https://www2.ed.gov/policy/fund/guid/uniform-guidance/index.html" TargetMode="External"/></Relationships>
</file>

<file path=xl/worksheets/_rels/sheet53.xml.rels><?xml version="1.0" encoding="UTF-8" standalone="yes"?>
<Relationships xmlns="http://schemas.openxmlformats.org/package/2006/relationships"><Relationship Id="rId2" Type="http://schemas.openxmlformats.org/officeDocument/2006/relationships/printerSettings" Target="../printerSettings/printerSettings53.bin"/><Relationship Id="rId1" Type="http://schemas.openxmlformats.org/officeDocument/2006/relationships/hyperlink" Target="https://www2.ed.gov/policy/fund/guid/uniform-guidance/index.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2.ed.gov/policy/fund/guid/uniform-guidance/index.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2.ed.gov/policy/fund/guid/uniform-guidance/index.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2.ed.gov/policy/fund/guid/uniform-guidance/index.html"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2.ed.gov/policy/fund/guid/uniform-guidance/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7"/>
  <sheetViews>
    <sheetView workbookViewId="0">
      <selection activeCell="B7" sqref="B7"/>
    </sheetView>
  </sheetViews>
  <sheetFormatPr defaultRowHeight="15" x14ac:dyDescent="0.25"/>
  <cols>
    <col min="2" max="2" width="18.28515625" customWidth="1"/>
  </cols>
  <sheetData>
    <row r="2" spans="2:2" ht="15.75" thickBot="1" x14ac:dyDescent="0.3"/>
    <row r="3" spans="2:2" x14ac:dyDescent="0.25">
      <c r="B3" s="91" t="s">
        <v>23</v>
      </c>
    </row>
    <row r="4" spans="2:2" x14ac:dyDescent="0.25">
      <c r="B4" s="92" t="s">
        <v>30</v>
      </c>
    </row>
    <row r="5" spans="2:2" ht="15.75" thickBot="1" x14ac:dyDescent="0.3">
      <c r="B5" s="100"/>
    </row>
    <row r="7" spans="2:2" x14ac:dyDescent="0.25">
      <c r="B7" s="328">
        <f>SUM('#0664 Academy Positive Learning:#4111 SLAM Academy High School'!S50)</f>
        <v>10285388.680000002</v>
      </c>
    </row>
  </sheetData>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0"/>
  <sheetViews>
    <sheetView topLeftCell="E24" zoomScale="120" zoomScaleNormal="120" workbookViewId="0">
      <selection activeCell="S50" sqref="S50"/>
    </sheetView>
  </sheetViews>
  <sheetFormatPr defaultColWidth="9.140625" defaultRowHeight="15" x14ac:dyDescent="0.25"/>
  <cols>
    <col min="1" max="1" width="9.140625" style="2" hidden="1" customWidth="1"/>
    <col min="2" max="2" width="57.5703125" style="2" customWidth="1"/>
    <col min="3" max="3" width="26.42578125" style="2" customWidth="1"/>
    <col min="4" max="4" width="13.7109375" style="2" customWidth="1"/>
    <col min="5" max="5" width="18.140625" style="2" customWidth="1"/>
    <col min="6" max="6" width="21.28515625" style="2" customWidth="1"/>
    <col min="7" max="7" width="8.5703125" style="2" customWidth="1"/>
    <col min="8" max="8" width="13.28515625" style="2" customWidth="1"/>
    <col min="9" max="9" width="13.5703125" style="2" customWidth="1"/>
    <col min="10" max="10" width="15.28515625" style="2" customWidth="1"/>
    <col min="11" max="11" width="8" style="2" customWidth="1"/>
    <col min="12" max="12" width="18.285156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6.7109375" style="2" customWidth="1"/>
    <col min="20" max="16384" width="9.140625" style="2"/>
  </cols>
  <sheetData>
    <row r="1" spans="1:20" ht="15.6" customHeight="1" x14ac:dyDescent="0.25">
      <c r="A1" s="2" t="s">
        <v>342</v>
      </c>
      <c r="B1" s="1" t="s">
        <v>47</v>
      </c>
      <c r="Q1" s="335" t="s">
        <v>230</v>
      </c>
      <c r="R1" s="335"/>
      <c r="S1" s="335"/>
    </row>
    <row r="2" spans="1:20" x14ac:dyDescent="0.25">
      <c r="B2" s="90" t="s">
        <v>148</v>
      </c>
      <c r="C2" s="187">
        <v>44377</v>
      </c>
      <c r="M2" s="73"/>
      <c r="N2" s="73"/>
      <c r="P2" s="29"/>
      <c r="Q2" s="334" t="s">
        <v>338</v>
      </c>
      <c r="R2" s="334"/>
      <c r="S2" s="334"/>
    </row>
    <row r="3" spans="1:20" ht="15.75" thickBot="1" x14ac:dyDescent="0.3">
      <c r="A3" s="2" t="s">
        <v>16</v>
      </c>
      <c r="B3" s="44" t="s">
        <v>77</v>
      </c>
      <c r="C3" s="8"/>
      <c r="D3" s="8"/>
      <c r="E3" s="8"/>
      <c r="P3" s="29"/>
      <c r="Q3" s="45"/>
      <c r="R3" s="30"/>
    </row>
    <row r="4" spans="1:20" x14ac:dyDescent="0.25">
      <c r="B4" s="8" t="s">
        <v>174</v>
      </c>
      <c r="M4" s="87" t="s">
        <v>28</v>
      </c>
      <c r="N4" s="87" t="s">
        <v>28</v>
      </c>
      <c r="O4" s="87" t="s">
        <v>28</v>
      </c>
      <c r="P4" s="9"/>
      <c r="Q4" s="91" t="s">
        <v>29</v>
      </c>
      <c r="R4" s="91" t="s">
        <v>31</v>
      </c>
      <c r="S4" s="91" t="s">
        <v>23</v>
      </c>
      <c r="T4" s="7"/>
    </row>
    <row r="5" spans="1:20" ht="15.75" thickBot="1" x14ac:dyDescent="0.3">
      <c r="G5" s="188" t="s">
        <v>231</v>
      </c>
      <c r="H5" s="188" t="s">
        <v>231</v>
      </c>
      <c r="M5" s="88" t="s">
        <v>27</v>
      </c>
      <c r="N5" s="88" t="s">
        <v>26</v>
      </c>
      <c r="O5" s="88" t="s">
        <v>25</v>
      </c>
      <c r="P5" s="9"/>
      <c r="Q5" s="92" t="s">
        <v>30</v>
      </c>
      <c r="R5" s="92" t="s">
        <v>30</v>
      </c>
      <c r="S5" s="92" t="s">
        <v>30</v>
      </c>
      <c r="T5" s="7"/>
    </row>
    <row r="6" spans="1:20" ht="116.25" customHeight="1" thickBot="1" x14ac:dyDescent="0.3">
      <c r="B6" s="86" t="s">
        <v>1</v>
      </c>
      <c r="C6" s="86" t="s">
        <v>127</v>
      </c>
      <c r="D6" s="86" t="s">
        <v>107</v>
      </c>
      <c r="E6" s="86" t="s">
        <v>3</v>
      </c>
      <c r="F6" s="86" t="s">
        <v>4</v>
      </c>
      <c r="G6" s="110" t="s">
        <v>136</v>
      </c>
      <c r="H6" s="110" t="s">
        <v>137</v>
      </c>
      <c r="I6" s="110" t="s">
        <v>133</v>
      </c>
      <c r="J6" s="110" t="s">
        <v>134</v>
      </c>
      <c r="K6" s="110" t="s">
        <v>121</v>
      </c>
      <c r="L6" s="85" t="s">
        <v>5</v>
      </c>
      <c r="M6" s="89" t="s">
        <v>6</v>
      </c>
      <c r="N6" s="89" t="s">
        <v>6</v>
      </c>
      <c r="O6" s="89" t="s">
        <v>6</v>
      </c>
      <c r="P6" s="9"/>
      <c r="Q6" s="93"/>
      <c r="R6" s="99" t="s">
        <v>32</v>
      </c>
      <c r="S6" s="100" t="s">
        <v>33</v>
      </c>
    </row>
    <row r="7" spans="1:20" ht="33" customHeight="1" x14ac:dyDescent="0.25">
      <c r="B7" s="2" t="s">
        <v>341</v>
      </c>
      <c r="C7" s="113" t="s">
        <v>187</v>
      </c>
      <c r="D7" s="94" t="s">
        <v>250</v>
      </c>
      <c r="E7" s="2" t="s">
        <v>293</v>
      </c>
      <c r="F7" s="2" t="s">
        <v>7</v>
      </c>
      <c r="G7" s="191">
        <v>2.9600000000000001E-2</v>
      </c>
      <c r="H7" s="191">
        <v>0.1744</v>
      </c>
      <c r="I7" s="192">
        <v>44377</v>
      </c>
      <c r="J7" s="192">
        <v>44378</v>
      </c>
      <c r="K7" s="192">
        <v>44013</v>
      </c>
      <c r="L7" s="193" t="s">
        <v>234</v>
      </c>
      <c r="M7" s="72">
        <v>7184.04</v>
      </c>
      <c r="N7" s="72">
        <v>12516</v>
      </c>
      <c r="O7" s="69">
        <f>M7+N7</f>
        <v>19700.04</v>
      </c>
      <c r="P7" s="42"/>
      <c r="Q7" s="43">
        <f>7184.04+12516</f>
        <v>19700.04</v>
      </c>
      <c r="R7" s="69"/>
      <c r="S7" s="70">
        <f t="shared" ref="S7:S12" si="0">Q7+R7</f>
        <v>19700.04</v>
      </c>
    </row>
    <row r="8" spans="1:20" ht="30" x14ac:dyDescent="0.25">
      <c r="B8" s="2" t="s">
        <v>128</v>
      </c>
      <c r="C8" s="232" t="s">
        <v>122</v>
      </c>
      <c r="D8" s="95" t="s">
        <v>248</v>
      </c>
      <c r="E8" s="2" t="s">
        <v>233</v>
      </c>
      <c r="F8" s="2" t="s">
        <v>7</v>
      </c>
      <c r="G8" s="191">
        <f t="shared" ref="G8:J8" si="1">G7</f>
        <v>2.9600000000000001E-2</v>
      </c>
      <c r="H8" s="191">
        <f t="shared" si="1"/>
        <v>0.1744</v>
      </c>
      <c r="I8" s="192">
        <f t="shared" si="1"/>
        <v>44377</v>
      </c>
      <c r="J8" s="192">
        <f t="shared" si="1"/>
        <v>44378</v>
      </c>
      <c r="K8" s="192">
        <f>K7</f>
        <v>44013</v>
      </c>
      <c r="L8" s="193" t="str">
        <f>L7</f>
        <v>07/01/20 - 06/30/21</v>
      </c>
      <c r="M8" s="72">
        <v>9333</v>
      </c>
      <c r="N8" s="72">
        <v>22805.78</v>
      </c>
      <c r="O8" s="69">
        <f>M8+N8</f>
        <v>32138.78</v>
      </c>
      <c r="P8" s="42"/>
      <c r="Q8" s="43">
        <f>9333+22805.78</f>
        <v>32138.78</v>
      </c>
      <c r="R8" s="69">
        <v>0</v>
      </c>
      <c r="S8" s="70">
        <f t="shared" si="0"/>
        <v>32138.78</v>
      </c>
    </row>
    <row r="9" spans="1:20" ht="27" customHeight="1" x14ac:dyDescent="0.25">
      <c r="B9" s="2" t="s">
        <v>289</v>
      </c>
      <c r="C9" s="243" t="s">
        <v>292</v>
      </c>
      <c r="D9" s="95" t="s">
        <v>290</v>
      </c>
      <c r="E9" s="2" t="s">
        <v>291</v>
      </c>
      <c r="F9" s="2" t="s">
        <v>7</v>
      </c>
      <c r="G9" s="191">
        <f t="shared" ref="G9:H9" si="2">+G8</f>
        <v>2.9600000000000001E-2</v>
      </c>
      <c r="H9" s="191">
        <f t="shared" si="2"/>
        <v>0.1744</v>
      </c>
      <c r="I9" s="192">
        <v>44439</v>
      </c>
      <c r="J9" s="192">
        <v>44454</v>
      </c>
      <c r="K9" s="192">
        <v>44013</v>
      </c>
      <c r="L9" s="193" t="s">
        <v>331</v>
      </c>
      <c r="M9" s="81">
        <v>10424.34</v>
      </c>
      <c r="N9" s="69"/>
      <c r="O9" s="69">
        <f t="shared" ref="O9" si="3">M9+N9</f>
        <v>10424.34</v>
      </c>
      <c r="P9" s="69"/>
      <c r="Q9" s="69">
        <v>10424.34</v>
      </c>
      <c r="R9" s="69"/>
      <c r="S9" s="70">
        <f t="shared" si="0"/>
        <v>10424.34</v>
      </c>
    </row>
    <row r="10" spans="1:20" ht="30.75" customHeight="1" x14ac:dyDescent="0.25">
      <c r="B10" s="2" t="s">
        <v>241</v>
      </c>
      <c r="C10" s="243" t="s">
        <v>242</v>
      </c>
      <c r="D10" s="95" t="s">
        <v>243</v>
      </c>
      <c r="E10" s="2" t="s">
        <v>244</v>
      </c>
      <c r="F10" s="2" t="s">
        <v>7</v>
      </c>
      <c r="G10" s="191">
        <f>+G8</f>
        <v>2.9600000000000001E-2</v>
      </c>
      <c r="H10" s="191">
        <f>+H8</f>
        <v>0.1744</v>
      </c>
      <c r="I10" s="192">
        <v>44834</v>
      </c>
      <c r="J10" s="192">
        <v>44849</v>
      </c>
      <c r="K10" s="192">
        <v>43614</v>
      </c>
      <c r="L10" s="193" t="s">
        <v>311</v>
      </c>
      <c r="M10" s="72">
        <v>99014.83</v>
      </c>
      <c r="N10" s="72"/>
      <c r="O10" s="69">
        <f>M10+N10</f>
        <v>99014.83</v>
      </c>
      <c r="P10" s="42"/>
      <c r="Q10" s="43">
        <v>99014.82</v>
      </c>
      <c r="R10" s="69"/>
      <c r="S10" s="70">
        <f t="shared" si="0"/>
        <v>99014.82</v>
      </c>
    </row>
    <row r="11" spans="1:20" ht="30.75" customHeight="1" x14ac:dyDescent="0.25">
      <c r="B11" s="2" t="s">
        <v>283</v>
      </c>
      <c r="C11" s="243" t="s">
        <v>264</v>
      </c>
      <c r="D11" s="95" t="s">
        <v>254</v>
      </c>
      <c r="E11" s="2" t="s">
        <v>284</v>
      </c>
      <c r="F11" s="2" t="s">
        <v>7</v>
      </c>
      <c r="G11" s="191">
        <f t="shared" ref="G11:H11" si="4">+G10</f>
        <v>2.9600000000000001E-2</v>
      </c>
      <c r="H11" s="191">
        <f t="shared" si="4"/>
        <v>0.1744</v>
      </c>
      <c r="I11" s="192">
        <v>44377</v>
      </c>
      <c r="J11" s="192">
        <v>44392</v>
      </c>
      <c r="K11" s="192">
        <v>43613</v>
      </c>
      <c r="L11" s="193" t="s">
        <v>234</v>
      </c>
      <c r="M11" s="81">
        <v>7302.48</v>
      </c>
      <c r="N11" s="69"/>
      <c r="O11" s="69">
        <f>M11+N11</f>
        <v>7302.48</v>
      </c>
      <c r="P11" s="69"/>
      <c r="Q11" s="69"/>
      <c r="R11" s="69"/>
      <c r="S11" s="70">
        <f t="shared" si="0"/>
        <v>0</v>
      </c>
    </row>
    <row r="12" spans="1:20" ht="30.75" customHeight="1" x14ac:dyDescent="0.25">
      <c r="B12" s="2" t="s">
        <v>314</v>
      </c>
      <c r="C12" s="243" t="s">
        <v>242</v>
      </c>
      <c r="D12" s="95" t="s">
        <v>243</v>
      </c>
      <c r="E12" s="2" t="s">
        <v>315</v>
      </c>
      <c r="F12" s="2" t="s">
        <v>7</v>
      </c>
      <c r="G12" s="191">
        <f>+G10</f>
        <v>2.9600000000000001E-2</v>
      </c>
      <c r="H12" s="191">
        <f>+H10</f>
        <v>0.1744</v>
      </c>
      <c r="I12" s="192">
        <v>44773</v>
      </c>
      <c r="J12" s="192">
        <v>44788</v>
      </c>
      <c r="K12" s="192">
        <v>43980</v>
      </c>
      <c r="L12" s="193" t="s">
        <v>316</v>
      </c>
      <c r="M12" s="81">
        <v>3391.88</v>
      </c>
      <c r="N12" s="72"/>
      <c r="O12" s="69">
        <f>M12+N12</f>
        <v>3391.88</v>
      </c>
      <c r="P12" s="69"/>
      <c r="Q12" s="69"/>
      <c r="R12" s="69"/>
      <c r="S12" s="70">
        <f t="shared" si="0"/>
        <v>0</v>
      </c>
    </row>
    <row r="13" spans="1:20" ht="30.75" customHeight="1" x14ac:dyDescent="0.25">
      <c r="B13" s="2" t="s">
        <v>318</v>
      </c>
      <c r="C13" s="243" t="s">
        <v>242</v>
      </c>
      <c r="D13" s="95" t="s">
        <v>243</v>
      </c>
      <c r="E13" s="2" t="s">
        <v>319</v>
      </c>
      <c r="F13" s="2" t="s">
        <v>7</v>
      </c>
      <c r="G13" s="191">
        <v>2.9600000000000001E-2</v>
      </c>
      <c r="H13" s="191">
        <v>0.1744</v>
      </c>
      <c r="I13" s="192">
        <v>44561</v>
      </c>
      <c r="J13" s="192">
        <v>44576</v>
      </c>
      <c r="K13" s="192">
        <v>43980</v>
      </c>
      <c r="L13" s="193" t="s">
        <v>320</v>
      </c>
      <c r="M13" s="81">
        <v>3000</v>
      </c>
      <c r="N13" s="69"/>
      <c r="O13" s="69">
        <f t="shared" ref="O13:O15" si="5">M13+N13</f>
        <v>3000</v>
      </c>
      <c r="P13" s="68"/>
      <c r="Q13" s="69"/>
      <c r="R13" s="69"/>
      <c r="S13" s="70">
        <f t="shared" ref="S13:S15" si="6">Q13+R13</f>
        <v>0</v>
      </c>
    </row>
    <row r="14" spans="1:20" ht="30.75" customHeight="1" x14ac:dyDescent="0.25">
      <c r="B14" s="2" t="s">
        <v>321</v>
      </c>
      <c r="C14" s="243" t="s">
        <v>264</v>
      </c>
      <c r="D14" s="95" t="s">
        <v>254</v>
      </c>
      <c r="E14" s="2" t="s">
        <v>322</v>
      </c>
      <c r="F14" s="2" t="s">
        <v>7</v>
      </c>
      <c r="G14" s="191">
        <v>2.9600000000000001E-2</v>
      </c>
      <c r="H14" s="191">
        <v>0.1744</v>
      </c>
      <c r="I14" s="192">
        <v>44742</v>
      </c>
      <c r="J14" s="192">
        <v>44757</v>
      </c>
      <c r="K14" s="192">
        <v>43979</v>
      </c>
      <c r="L14" s="193" t="s">
        <v>323</v>
      </c>
      <c r="M14" s="81">
        <v>1027</v>
      </c>
      <c r="N14" s="69"/>
      <c r="O14" s="69">
        <f t="shared" si="5"/>
        <v>1027</v>
      </c>
      <c r="P14" s="68"/>
      <c r="Q14" s="69"/>
      <c r="R14" s="69"/>
      <c r="S14" s="70">
        <f t="shared" si="6"/>
        <v>0</v>
      </c>
    </row>
    <row r="15" spans="1:20" ht="30.75" customHeight="1" x14ac:dyDescent="0.25">
      <c r="B15" s="2" t="s">
        <v>327</v>
      </c>
      <c r="C15" s="243" t="s">
        <v>242</v>
      </c>
      <c r="D15" s="95" t="s">
        <v>328</v>
      </c>
      <c r="E15" s="2" t="s">
        <v>329</v>
      </c>
      <c r="F15" s="2" t="s">
        <v>7</v>
      </c>
      <c r="G15" s="191">
        <v>2.9600000000000001E-2</v>
      </c>
      <c r="H15" s="191">
        <v>0.1744</v>
      </c>
      <c r="I15" s="192">
        <v>44440</v>
      </c>
      <c r="J15" s="192">
        <v>44440</v>
      </c>
      <c r="K15" s="192">
        <v>44201</v>
      </c>
      <c r="L15" s="193" t="s">
        <v>330</v>
      </c>
      <c r="M15" s="81">
        <v>202407.18</v>
      </c>
      <c r="N15" s="69"/>
      <c r="O15" s="69">
        <f t="shared" si="5"/>
        <v>202407.18</v>
      </c>
      <c r="P15" s="68"/>
      <c r="Q15" s="69"/>
      <c r="R15" s="69"/>
      <c r="S15" s="70">
        <f t="shared" si="6"/>
        <v>0</v>
      </c>
    </row>
    <row r="16" spans="1:20" x14ac:dyDescent="0.25">
      <c r="C16" s="113"/>
      <c r="D16" s="94"/>
      <c r="G16" s="191"/>
      <c r="H16" s="191"/>
      <c r="I16" s="192"/>
      <c r="J16" s="192"/>
      <c r="K16" s="192"/>
      <c r="L16" s="210"/>
      <c r="M16" s="25"/>
      <c r="N16" s="25"/>
      <c r="O16" s="25"/>
      <c r="Q16" s="25"/>
      <c r="R16" s="25"/>
      <c r="S16" s="26"/>
    </row>
    <row r="17" spans="2:19" ht="21.75" customHeight="1" x14ac:dyDescent="0.25">
      <c r="C17" s="94"/>
      <c r="D17" s="94"/>
      <c r="G17" s="126"/>
      <c r="H17" s="127"/>
      <c r="I17" s="119"/>
      <c r="J17" s="119"/>
      <c r="K17" s="119"/>
      <c r="L17" s="5" t="s">
        <v>38</v>
      </c>
      <c r="M17" s="68">
        <f>SUM(M7:M16)</f>
        <v>343084.75</v>
      </c>
      <c r="N17" s="68">
        <f>SUM(N7:N16)</f>
        <v>35321.78</v>
      </c>
      <c r="O17" s="68">
        <f>SUM(O7:O16)</f>
        <v>378406.53</v>
      </c>
      <c r="P17" s="68"/>
      <c r="Q17" s="68">
        <f>SUM(Q7:Q16)</f>
        <v>161277.98000000001</v>
      </c>
      <c r="R17" s="68">
        <f>SUM(R7:R16)</f>
        <v>0</v>
      </c>
      <c r="S17" s="23">
        <f>SUM(S7:S16)</f>
        <v>161277.98000000001</v>
      </c>
    </row>
    <row r="18" spans="2:19" x14ac:dyDescent="0.25">
      <c r="C18" s="94"/>
      <c r="D18" s="94"/>
      <c r="I18" s="119"/>
      <c r="J18" s="119"/>
      <c r="K18" s="119"/>
      <c r="L18" s="5"/>
      <c r="M18" s="68"/>
      <c r="N18" s="68"/>
      <c r="O18" s="68"/>
      <c r="Q18" s="68"/>
      <c r="R18" s="68"/>
      <c r="S18" s="70"/>
    </row>
    <row r="19" spans="2:19" x14ac:dyDescent="0.25">
      <c r="C19" s="94"/>
      <c r="D19" s="94"/>
      <c r="L19" s="5"/>
      <c r="M19" s="68"/>
      <c r="N19" s="68"/>
      <c r="O19" s="68"/>
      <c r="Q19" s="68"/>
      <c r="R19" s="68"/>
      <c r="S19" s="70"/>
    </row>
    <row r="20" spans="2:19" x14ac:dyDescent="0.25">
      <c r="B20" s="8" t="s">
        <v>125</v>
      </c>
      <c r="C20" s="94"/>
      <c r="D20" s="94"/>
      <c r="L20" s="5"/>
      <c r="M20" s="68"/>
      <c r="N20" s="68"/>
      <c r="O20" s="68"/>
      <c r="Q20" s="68"/>
      <c r="R20" s="68"/>
      <c r="S20" s="70"/>
    </row>
    <row r="21" spans="2:19" ht="28.5" customHeight="1" x14ac:dyDescent="0.25">
      <c r="B21" s="338" t="s">
        <v>126</v>
      </c>
      <c r="C21" s="338"/>
      <c r="D21" s="338"/>
      <c r="E21" s="338"/>
      <c r="F21" s="338"/>
      <c r="G21" s="120"/>
      <c r="H21" s="120"/>
      <c r="I21" s="114"/>
      <c r="L21" s="5"/>
      <c r="M21" s="68"/>
      <c r="N21" s="68"/>
      <c r="O21" s="68"/>
      <c r="Q21" s="68"/>
      <c r="R21" s="68"/>
      <c r="S21" s="70"/>
    </row>
    <row r="22" spans="2:19" x14ac:dyDescent="0.25">
      <c r="C22" s="94"/>
      <c r="D22" s="94"/>
      <c r="L22" s="5"/>
      <c r="M22" s="68"/>
      <c r="N22" s="68"/>
      <c r="O22" s="68"/>
      <c r="Q22" s="68"/>
      <c r="R22" s="68"/>
      <c r="S22" s="70"/>
    </row>
    <row r="23" spans="2:19" ht="47.25" customHeight="1" x14ac:dyDescent="0.25">
      <c r="B23" s="338" t="s">
        <v>129</v>
      </c>
      <c r="C23" s="338"/>
      <c r="D23" s="338"/>
      <c r="E23" s="338"/>
      <c r="F23" s="338"/>
      <c r="G23" s="120"/>
      <c r="H23" s="120"/>
      <c r="I23" s="114"/>
      <c r="L23" s="5"/>
      <c r="M23" s="68"/>
      <c r="N23" s="68"/>
      <c r="O23" s="68"/>
      <c r="Q23" s="68"/>
      <c r="R23" s="68"/>
      <c r="S23" s="70"/>
    </row>
    <row r="24" spans="2:19" x14ac:dyDescent="0.25">
      <c r="B24" s="198"/>
      <c r="C24" s="198"/>
      <c r="D24" s="198"/>
      <c r="E24" s="198"/>
      <c r="F24" s="198"/>
      <c r="G24" s="198"/>
      <c r="H24" s="198"/>
      <c r="I24" s="198"/>
      <c r="L24" s="5"/>
      <c r="M24" s="68"/>
      <c r="N24" s="68"/>
      <c r="O24" s="68"/>
      <c r="Q24" s="68"/>
      <c r="R24" s="68"/>
      <c r="S24" s="70"/>
    </row>
    <row r="25" spans="2:19" ht="31.5" customHeight="1" x14ac:dyDescent="0.25">
      <c r="B25" s="338" t="s">
        <v>160</v>
      </c>
      <c r="C25" s="338"/>
      <c r="D25" s="338"/>
      <c r="E25" s="338"/>
      <c r="F25" s="338"/>
      <c r="G25" s="198"/>
      <c r="H25" s="198"/>
      <c r="I25" s="198"/>
      <c r="L25" s="5"/>
      <c r="M25" s="68"/>
      <c r="N25" s="68"/>
      <c r="O25" s="68"/>
      <c r="Q25" s="68"/>
      <c r="R25" s="68"/>
      <c r="S25" s="70"/>
    </row>
    <row r="26" spans="2:19" ht="15" customHeight="1" x14ac:dyDescent="0.25">
      <c r="B26" s="346" t="s">
        <v>159</v>
      </c>
      <c r="C26" s="338"/>
      <c r="D26" s="338"/>
      <c r="E26" s="338"/>
      <c r="F26" s="338"/>
      <c r="G26" s="198"/>
      <c r="H26" s="198"/>
      <c r="I26" s="198"/>
      <c r="L26" s="5"/>
      <c r="M26" s="68"/>
      <c r="N26" s="68"/>
      <c r="O26" s="68"/>
      <c r="Q26" s="68"/>
      <c r="R26" s="68"/>
      <c r="S26" s="70"/>
    </row>
    <row r="27" spans="2:19" ht="15" customHeight="1" x14ac:dyDescent="0.25">
      <c r="B27" s="200"/>
      <c r="C27" s="200"/>
      <c r="D27" s="200"/>
      <c r="E27" s="200"/>
      <c r="F27" s="200"/>
      <c r="G27" s="200"/>
      <c r="H27" s="200"/>
      <c r="I27" s="200"/>
      <c r="L27" s="5"/>
      <c r="M27" s="68"/>
      <c r="N27" s="68"/>
      <c r="O27" s="68"/>
      <c r="Q27" s="68"/>
      <c r="R27" s="68"/>
      <c r="S27" s="70"/>
    </row>
    <row r="28" spans="2:19" x14ac:dyDescent="0.25">
      <c r="B28" s="111"/>
      <c r="C28" s="111"/>
      <c r="D28" s="111"/>
      <c r="E28" s="111"/>
      <c r="F28" s="111"/>
      <c r="G28" s="120"/>
      <c r="H28" s="120"/>
      <c r="I28" s="114"/>
      <c r="L28" s="5"/>
      <c r="M28" s="68"/>
      <c r="N28" s="68"/>
      <c r="O28" s="68"/>
      <c r="Q28" s="68"/>
      <c r="R28" s="68"/>
      <c r="S28" s="70"/>
    </row>
    <row r="29" spans="2:19" x14ac:dyDescent="0.25">
      <c r="B29" s="7" t="s">
        <v>109</v>
      </c>
      <c r="C29" s="104" t="s">
        <v>112</v>
      </c>
      <c r="D29" s="104" t="s">
        <v>113</v>
      </c>
      <c r="E29" s="111"/>
      <c r="F29" s="111"/>
      <c r="G29" s="120"/>
      <c r="H29" s="120"/>
      <c r="I29" s="114"/>
      <c r="L29" s="5"/>
      <c r="M29" s="68"/>
      <c r="N29" s="68"/>
      <c r="O29" s="68"/>
      <c r="Q29" s="68"/>
      <c r="R29" s="68"/>
      <c r="S29" s="70"/>
    </row>
    <row r="30" spans="2:19" x14ac:dyDescent="0.25">
      <c r="C30" s="94"/>
      <c r="D30" s="94"/>
      <c r="E30" s="111"/>
      <c r="F30" s="111"/>
      <c r="G30" s="120"/>
      <c r="H30" s="120"/>
      <c r="I30" s="114"/>
      <c r="L30" s="5"/>
      <c r="M30" s="68"/>
      <c r="N30" s="68"/>
      <c r="O30" s="68"/>
      <c r="Q30" s="68"/>
      <c r="R30" s="68"/>
      <c r="S30" s="70"/>
    </row>
    <row r="31" spans="2:19" hidden="1" x14ac:dyDescent="0.25">
      <c r="B31" s="2" t="s">
        <v>138</v>
      </c>
      <c r="C31" s="94" t="s">
        <v>180</v>
      </c>
      <c r="D31" s="94" t="s">
        <v>181</v>
      </c>
      <c r="E31" s="267"/>
      <c r="F31" s="267"/>
      <c r="G31" s="267"/>
      <c r="H31" s="267"/>
      <c r="I31" s="267"/>
      <c r="L31" s="5"/>
      <c r="M31" s="68"/>
      <c r="N31" s="68"/>
      <c r="O31" s="68"/>
      <c r="Q31" s="68"/>
      <c r="R31" s="68"/>
      <c r="S31" s="70"/>
    </row>
    <row r="32" spans="2:19" x14ac:dyDescent="0.25">
      <c r="B32" s="2" t="s">
        <v>111</v>
      </c>
      <c r="C32" s="94" t="s">
        <v>114</v>
      </c>
      <c r="D32" s="94" t="s">
        <v>119</v>
      </c>
      <c r="L32" s="5"/>
      <c r="M32" s="68"/>
      <c r="N32" s="68"/>
      <c r="O32" s="68"/>
      <c r="Q32" s="68"/>
      <c r="R32" s="68"/>
      <c r="S32" s="70"/>
    </row>
    <row r="33" spans="2:20" x14ac:dyDescent="0.25">
      <c r="B33" s="2" t="s">
        <v>297</v>
      </c>
      <c r="C33" s="94" t="s">
        <v>180</v>
      </c>
      <c r="D33" s="94" t="s">
        <v>181</v>
      </c>
      <c r="L33" s="5"/>
      <c r="M33" s="68"/>
      <c r="N33" s="68"/>
      <c r="O33" s="68"/>
      <c r="Q33" s="68"/>
      <c r="R33" s="68"/>
      <c r="S33" s="70"/>
    </row>
    <row r="34" spans="2:20" x14ac:dyDescent="0.25">
      <c r="B34" s="2" t="s">
        <v>252</v>
      </c>
      <c r="C34" s="94" t="s">
        <v>135</v>
      </c>
      <c r="D34" s="94" t="s">
        <v>147</v>
      </c>
      <c r="L34" s="5"/>
      <c r="M34" s="68"/>
      <c r="N34" s="68"/>
      <c r="O34" s="68"/>
      <c r="Q34" s="68"/>
      <c r="R34" s="68"/>
      <c r="S34" s="70"/>
    </row>
    <row r="35" spans="2:20" x14ac:dyDescent="0.25">
      <c r="B35" s="2" t="s">
        <v>260</v>
      </c>
      <c r="C35" s="94" t="s">
        <v>135</v>
      </c>
      <c r="D35" s="94" t="s">
        <v>147</v>
      </c>
      <c r="L35" s="5"/>
      <c r="M35" s="68"/>
      <c r="N35" s="68"/>
      <c r="O35" s="68"/>
      <c r="Q35" s="68"/>
      <c r="R35" s="68"/>
      <c r="S35" s="70"/>
    </row>
    <row r="36" spans="2:20" x14ac:dyDescent="0.25">
      <c r="B36" s="2" t="s">
        <v>314</v>
      </c>
      <c r="C36" s="94" t="s">
        <v>135</v>
      </c>
      <c r="D36" s="94" t="s">
        <v>147</v>
      </c>
      <c r="L36" s="5"/>
      <c r="M36" s="68"/>
      <c r="N36" s="68"/>
      <c r="O36" s="68"/>
      <c r="Q36" s="68"/>
      <c r="R36" s="68"/>
      <c r="S36" s="70"/>
    </row>
    <row r="37" spans="2:20" x14ac:dyDescent="0.25">
      <c r="B37" s="2" t="s">
        <v>318</v>
      </c>
      <c r="C37" s="94" t="s">
        <v>135</v>
      </c>
      <c r="D37" s="94" t="s">
        <v>147</v>
      </c>
      <c r="L37" s="5"/>
      <c r="M37" s="68"/>
      <c r="N37" s="68"/>
      <c r="O37" s="68"/>
      <c r="Q37" s="68"/>
      <c r="R37" s="68"/>
      <c r="S37" s="70"/>
    </row>
    <row r="38" spans="2:20" x14ac:dyDescent="0.25">
      <c r="B38" s="2" t="s">
        <v>321</v>
      </c>
      <c r="C38" s="94" t="s">
        <v>135</v>
      </c>
      <c r="D38" s="94" t="s">
        <v>147</v>
      </c>
      <c r="L38" s="5"/>
      <c r="M38" s="68"/>
      <c r="N38" s="68"/>
      <c r="O38" s="68"/>
      <c r="Q38" s="68"/>
      <c r="R38" s="68"/>
      <c r="S38" s="70"/>
    </row>
    <row r="39" spans="2:20" x14ac:dyDescent="0.25">
      <c r="B39" s="2" t="s">
        <v>326</v>
      </c>
      <c r="C39" s="94" t="s">
        <v>135</v>
      </c>
      <c r="D39" s="94" t="s">
        <v>147</v>
      </c>
      <c r="L39" s="5"/>
      <c r="M39" s="68"/>
      <c r="N39" s="68"/>
      <c r="O39" s="68"/>
      <c r="Q39" s="68"/>
      <c r="R39" s="68"/>
      <c r="S39" s="70"/>
    </row>
    <row r="40" spans="2:20" x14ac:dyDescent="0.25">
      <c r="C40" s="94"/>
      <c r="D40" s="94"/>
      <c r="L40" s="5"/>
      <c r="M40" s="68"/>
      <c r="N40" s="68"/>
      <c r="O40" s="68"/>
      <c r="Q40" s="68"/>
      <c r="R40" s="68"/>
      <c r="S40" s="70"/>
    </row>
    <row r="41" spans="2:20" x14ac:dyDescent="0.25">
      <c r="B41" s="269" t="s">
        <v>235</v>
      </c>
      <c r="C41" s="94"/>
      <c r="D41" s="94"/>
      <c r="L41" s="5"/>
      <c r="M41" s="68"/>
      <c r="N41" s="68"/>
      <c r="O41" s="68"/>
      <c r="Q41" s="68"/>
      <c r="R41" s="68"/>
      <c r="S41" s="70"/>
    </row>
    <row r="42" spans="2:20" x14ac:dyDescent="0.25">
      <c r="B42" s="333" t="s">
        <v>236</v>
      </c>
      <c r="C42" s="333"/>
      <c r="D42" s="333"/>
      <c r="E42" s="333"/>
      <c r="F42" s="333"/>
      <c r="G42" s="333"/>
      <c r="H42" s="333"/>
      <c r="L42" s="5"/>
      <c r="M42" s="68"/>
      <c r="N42" s="68"/>
      <c r="O42" s="68"/>
      <c r="Q42" s="68"/>
      <c r="R42" s="68"/>
      <c r="S42" s="70"/>
    </row>
    <row r="43" spans="2:20" ht="15" customHeight="1" x14ac:dyDescent="0.25">
      <c r="B43" s="10"/>
      <c r="C43" s="10"/>
      <c r="D43" s="10"/>
      <c r="E43" s="10"/>
      <c r="F43" s="10"/>
      <c r="G43" s="10"/>
      <c r="H43" s="10"/>
      <c r="I43" s="10"/>
      <c r="J43" s="10"/>
      <c r="K43" s="10"/>
      <c r="L43" s="10"/>
      <c r="M43" s="10"/>
      <c r="N43" s="29"/>
      <c r="O43" s="29"/>
      <c r="P43" s="29"/>
      <c r="Q43" s="29"/>
      <c r="R43" s="29"/>
      <c r="S43" s="27"/>
    </row>
    <row r="44" spans="2:20" ht="15" customHeight="1" x14ac:dyDescent="0.25">
      <c r="N44" s="112"/>
      <c r="O44" s="112"/>
      <c r="P44" s="112"/>
      <c r="Q44" s="175" t="s">
        <v>90</v>
      </c>
      <c r="R44" s="176"/>
      <c r="S44" s="177"/>
    </row>
    <row r="45" spans="2:20" ht="15" customHeight="1" x14ac:dyDescent="0.25">
      <c r="B45" s="17" t="s">
        <v>39</v>
      </c>
      <c r="C45" s="98" t="s">
        <v>2</v>
      </c>
      <c r="D45" s="98"/>
      <c r="E45" s="98" t="s">
        <v>34</v>
      </c>
      <c r="F45" s="98" t="s">
        <v>35</v>
      </c>
      <c r="G45" s="123"/>
      <c r="H45" s="123"/>
      <c r="I45" s="117"/>
      <c r="J45" s="98"/>
      <c r="K45" s="98"/>
      <c r="L45" s="98" t="s">
        <v>36</v>
      </c>
      <c r="M45" s="98" t="s">
        <v>37</v>
      </c>
      <c r="N45" s="10"/>
      <c r="O45" s="10"/>
      <c r="P45" s="10"/>
      <c r="Q45" s="54" t="s">
        <v>88</v>
      </c>
      <c r="R45" s="54"/>
      <c r="S45" s="55"/>
    </row>
    <row r="46" spans="2:20" x14ac:dyDescent="0.25">
      <c r="B46" s="65"/>
      <c r="C46" s="9"/>
      <c r="D46" s="9"/>
      <c r="E46" s="9"/>
      <c r="F46" s="9"/>
      <c r="G46" s="9"/>
      <c r="H46" s="9"/>
      <c r="I46" s="9"/>
      <c r="J46" s="9"/>
      <c r="K46" s="9"/>
      <c r="L46" s="9"/>
      <c r="M46" s="9"/>
      <c r="Q46" s="58"/>
      <c r="R46" s="51"/>
      <c r="S46" s="51"/>
    </row>
    <row r="47" spans="2:20" x14ac:dyDescent="0.25">
      <c r="B47" s="65"/>
      <c r="C47" s="9"/>
      <c r="D47" s="9"/>
      <c r="E47" s="9"/>
      <c r="F47" s="9"/>
      <c r="G47" s="9"/>
      <c r="H47" s="9"/>
      <c r="I47" s="9"/>
      <c r="J47" s="9"/>
      <c r="K47" s="9"/>
      <c r="L47" s="9"/>
      <c r="M47" s="9"/>
      <c r="R47" s="51"/>
      <c r="S47" s="51"/>
    </row>
    <row r="48" spans="2:20" x14ac:dyDescent="0.25">
      <c r="B48" s="12"/>
      <c r="C48" s="13"/>
      <c r="D48" s="13"/>
      <c r="E48" s="41"/>
      <c r="F48" s="15"/>
      <c r="G48" s="15"/>
      <c r="H48" s="15"/>
      <c r="I48" s="15"/>
      <c r="J48" s="15"/>
      <c r="K48" s="15"/>
      <c r="L48" s="16"/>
      <c r="M48" s="20"/>
      <c r="N48" s="46"/>
      <c r="O48" s="46"/>
      <c r="P48" s="46"/>
      <c r="Q48" s="51"/>
      <c r="R48" s="51"/>
      <c r="S48" s="51"/>
      <c r="T48" s="51"/>
    </row>
    <row r="49" spans="2:20" x14ac:dyDescent="0.25">
      <c r="B49" s="12"/>
      <c r="C49" s="13"/>
      <c r="D49" s="13"/>
      <c r="E49" s="41"/>
      <c r="F49" s="15"/>
      <c r="G49" s="15"/>
      <c r="H49" s="15"/>
      <c r="I49" s="15"/>
      <c r="J49" s="15"/>
      <c r="K49" s="15"/>
      <c r="L49" s="16"/>
      <c r="M49" s="20"/>
      <c r="N49" s="46"/>
      <c r="O49" s="46"/>
      <c r="P49" s="46"/>
      <c r="Q49" s="51"/>
      <c r="R49" s="51"/>
      <c r="S49" s="51"/>
      <c r="T49" s="51"/>
    </row>
    <row r="50" spans="2:20" x14ac:dyDescent="0.25">
      <c r="B50" s="12"/>
      <c r="C50" s="13"/>
      <c r="D50" s="13"/>
      <c r="E50" s="41"/>
      <c r="F50" s="15"/>
      <c r="G50" s="15"/>
      <c r="H50" s="15"/>
      <c r="I50" s="15"/>
      <c r="J50" s="15"/>
      <c r="K50" s="15"/>
      <c r="L50" s="16"/>
      <c r="M50" s="20"/>
      <c r="N50" s="46"/>
      <c r="O50" s="46"/>
      <c r="P50" s="46"/>
      <c r="Q50" s="325" t="s">
        <v>343</v>
      </c>
      <c r="R50" s="325"/>
      <c r="S50" s="327">
        <f>S17</f>
        <v>161277.98000000001</v>
      </c>
      <c r="T50" s="51"/>
    </row>
    <row r="51" spans="2:20" x14ac:dyDescent="0.25">
      <c r="B51" s="12"/>
      <c r="C51" s="13"/>
      <c r="D51" s="13"/>
      <c r="E51" s="41"/>
      <c r="F51" s="15"/>
      <c r="G51" s="15"/>
      <c r="H51" s="15"/>
      <c r="I51" s="15"/>
      <c r="J51" s="15"/>
      <c r="K51" s="15"/>
      <c r="L51" s="16"/>
      <c r="M51" s="20"/>
      <c r="N51" s="46"/>
      <c r="O51" s="46"/>
      <c r="P51" s="46"/>
      <c r="Q51" s="51"/>
      <c r="R51" s="51"/>
      <c r="S51" s="51"/>
      <c r="T51" s="51"/>
    </row>
    <row r="52" spans="2:20" ht="15" customHeight="1" x14ac:dyDescent="0.25">
      <c r="B52" s="12"/>
      <c r="C52" s="13"/>
      <c r="D52" s="13"/>
      <c r="E52" s="41"/>
      <c r="F52" s="15"/>
      <c r="G52" s="15"/>
      <c r="H52" s="15"/>
      <c r="I52" s="15"/>
      <c r="J52" s="15"/>
      <c r="K52" s="15"/>
      <c r="L52" s="33"/>
      <c r="M52" s="31"/>
      <c r="N52" s="107"/>
      <c r="O52" s="29"/>
      <c r="P52" s="18"/>
      <c r="T52" s="51"/>
    </row>
    <row r="53" spans="2:20" x14ac:dyDescent="0.25">
      <c r="B53" s="36"/>
      <c r="C53" s="40"/>
      <c r="D53" s="40"/>
      <c r="E53" s="41"/>
      <c r="F53" s="38"/>
      <c r="G53" s="38"/>
      <c r="H53" s="38"/>
      <c r="I53" s="38"/>
      <c r="J53" s="38"/>
      <c r="K53" s="38"/>
      <c r="L53" s="33"/>
      <c r="M53" s="31"/>
      <c r="N53" s="101"/>
    </row>
    <row r="54" spans="2:20" x14ac:dyDescent="0.25">
      <c r="B54" s="36"/>
      <c r="C54" s="40"/>
      <c r="D54" s="40"/>
      <c r="E54" s="41"/>
      <c r="F54" s="38"/>
      <c r="G54" s="38"/>
      <c r="H54" s="38"/>
      <c r="I54" s="38"/>
      <c r="J54" s="38"/>
      <c r="K54" s="38"/>
      <c r="L54" s="33"/>
      <c r="M54" s="31"/>
      <c r="N54" s="101"/>
    </row>
    <row r="55" spans="2:20" ht="16.5" customHeight="1" x14ac:dyDescent="0.25">
      <c r="B55" s="36"/>
      <c r="C55" s="40"/>
      <c r="D55" s="40"/>
      <c r="E55" s="41"/>
      <c r="F55" s="38"/>
      <c r="G55" s="38"/>
      <c r="H55" s="38"/>
      <c r="I55" s="38"/>
      <c r="J55" s="38"/>
      <c r="K55" s="38"/>
      <c r="L55" s="39"/>
      <c r="M55" s="20"/>
      <c r="N55" s="101"/>
      <c r="O55" s="101"/>
      <c r="P55" s="29"/>
    </row>
    <row r="56" spans="2:20" ht="15" hidden="1" customHeight="1" x14ac:dyDescent="0.25"/>
    <row r="57" spans="2:20" ht="15" customHeight="1" x14ac:dyDescent="0.25">
      <c r="E57" s="21"/>
      <c r="F57" s="105"/>
      <c r="G57" s="105"/>
      <c r="H57" s="105"/>
      <c r="I57" s="105"/>
      <c r="J57" s="105"/>
      <c r="K57" s="105"/>
    </row>
    <row r="60" spans="2:20" ht="15" customHeight="1" x14ac:dyDescent="0.25"/>
  </sheetData>
  <mergeCells count="7">
    <mergeCell ref="B42:H42"/>
    <mergeCell ref="B26:F26"/>
    <mergeCell ref="Q2:S2"/>
    <mergeCell ref="Q1:S1"/>
    <mergeCell ref="B21:F21"/>
    <mergeCell ref="B23:F23"/>
    <mergeCell ref="B25:F25"/>
  </mergeCells>
  <hyperlinks>
    <hyperlink ref="B26" r:id="rId1"/>
  </hyperlinks>
  <printOptions horizontalCentered="1" gridLines="1"/>
  <pageMargins left="0" right="0" top="0.75" bottom="0.75" header="0.3" footer="0.3"/>
  <pageSetup scale="54" orientation="landscape" horizontalDpi="1200" verticalDpi="1200"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1"/>
  <sheetViews>
    <sheetView topLeftCell="F28" zoomScale="130" zoomScaleNormal="130" workbookViewId="0">
      <selection activeCell="S50" sqref="S50"/>
    </sheetView>
  </sheetViews>
  <sheetFormatPr defaultColWidth="9.140625" defaultRowHeight="15" x14ac:dyDescent="0.25"/>
  <cols>
    <col min="1" max="1" width="9.140625" style="2" hidden="1" customWidth="1"/>
    <col min="2" max="2" width="57.5703125" style="2" customWidth="1"/>
    <col min="3" max="3" width="30.85546875" style="2" customWidth="1"/>
    <col min="4" max="4" width="13.7109375" style="2" customWidth="1"/>
    <col min="5" max="5" width="18" style="2" customWidth="1"/>
    <col min="6" max="6" width="21.7109375" style="2" customWidth="1"/>
    <col min="7" max="7" width="11.7109375" style="2" customWidth="1"/>
    <col min="8" max="8" width="12.85546875" style="2" customWidth="1"/>
    <col min="9" max="9" width="13.28515625" style="2" customWidth="1"/>
    <col min="10" max="10" width="14.7109375" style="2" customWidth="1"/>
    <col min="11" max="11" width="10.42578125" style="2" customWidth="1"/>
    <col min="12" max="12" width="17.7109375" style="2" customWidth="1"/>
    <col min="13" max="13" width="13.28515625" style="2" bestFit="1" customWidth="1"/>
    <col min="14" max="14" width="13.7109375" style="2" customWidth="1"/>
    <col min="15" max="15" width="14.42578125" style="2" customWidth="1"/>
    <col min="16" max="16" width="3.140625" style="2" customWidth="1"/>
    <col min="17" max="17" width="19.7109375" style="2" customWidth="1"/>
    <col min="18" max="18" width="14.140625" style="2" customWidth="1"/>
    <col min="19" max="19" width="16.7109375" style="2" customWidth="1"/>
    <col min="20" max="16384" width="9.140625" style="2"/>
  </cols>
  <sheetData>
    <row r="1" spans="1:20" ht="18" customHeight="1" x14ac:dyDescent="0.25">
      <c r="A1" s="2" t="s">
        <v>342</v>
      </c>
      <c r="B1" s="1" t="s">
        <v>14</v>
      </c>
      <c r="Q1" s="335" t="s">
        <v>230</v>
      </c>
      <c r="R1" s="335"/>
      <c r="S1" s="335"/>
    </row>
    <row r="2" spans="1:20" ht="18" customHeight="1" x14ac:dyDescent="0.25">
      <c r="B2" s="90" t="s">
        <v>148</v>
      </c>
      <c r="C2" s="187">
        <v>44377</v>
      </c>
      <c r="M2" s="73"/>
      <c r="N2" s="73"/>
      <c r="P2" s="29"/>
      <c r="Q2" s="334" t="s">
        <v>338</v>
      </c>
      <c r="R2" s="334"/>
      <c r="S2" s="334"/>
    </row>
    <row r="3" spans="1:20" ht="18" customHeight="1" thickBot="1" x14ac:dyDescent="0.3">
      <c r="A3" s="2" t="s">
        <v>16</v>
      </c>
      <c r="B3" s="44" t="s">
        <v>65</v>
      </c>
      <c r="C3" s="8"/>
      <c r="D3" s="8"/>
      <c r="E3" s="8"/>
      <c r="P3" s="29"/>
      <c r="Q3" s="45"/>
      <c r="R3" s="30"/>
    </row>
    <row r="4" spans="1:20" ht="18.75" customHeight="1" x14ac:dyDescent="0.25">
      <c r="B4" s="8" t="s">
        <v>174</v>
      </c>
      <c r="M4" s="87" t="s">
        <v>28</v>
      </c>
      <c r="N4" s="87" t="s">
        <v>28</v>
      </c>
      <c r="O4" s="87" t="s">
        <v>28</v>
      </c>
      <c r="P4" s="9"/>
      <c r="Q4" s="91" t="s">
        <v>29</v>
      </c>
      <c r="R4" s="91" t="s">
        <v>31</v>
      </c>
      <c r="S4" s="91" t="s">
        <v>23</v>
      </c>
      <c r="T4" s="7"/>
    </row>
    <row r="5" spans="1:20" ht="15.75" thickBot="1" x14ac:dyDescent="0.3">
      <c r="G5" s="188" t="s">
        <v>231</v>
      </c>
      <c r="H5" s="188" t="s">
        <v>231</v>
      </c>
      <c r="M5" s="88" t="s">
        <v>27</v>
      </c>
      <c r="N5" s="88" t="s">
        <v>26</v>
      </c>
      <c r="O5" s="88" t="s">
        <v>25</v>
      </c>
      <c r="P5" s="9"/>
      <c r="Q5" s="92" t="s">
        <v>30</v>
      </c>
      <c r="R5" s="92" t="s">
        <v>30</v>
      </c>
      <c r="S5" s="92" t="s">
        <v>30</v>
      </c>
      <c r="T5" s="7"/>
    </row>
    <row r="6" spans="1:20" ht="85.5" customHeight="1" thickBot="1" x14ac:dyDescent="0.3">
      <c r="B6" s="86" t="s">
        <v>1</v>
      </c>
      <c r="C6" s="86" t="s">
        <v>127</v>
      </c>
      <c r="D6" s="86" t="s">
        <v>107</v>
      </c>
      <c r="E6" s="86" t="s">
        <v>3</v>
      </c>
      <c r="F6" s="86" t="s">
        <v>4</v>
      </c>
      <c r="G6" s="110" t="s">
        <v>136</v>
      </c>
      <c r="H6" s="110" t="s">
        <v>137</v>
      </c>
      <c r="I6" s="110" t="s">
        <v>133</v>
      </c>
      <c r="J6" s="110" t="s">
        <v>134</v>
      </c>
      <c r="K6" s="110" t="s">
        <v>121</v>
      </c>
      <c r="L6" s="85" t="s">
        <v>5</v>
      </c>
      <c r="M6" s="89" t="s">
        <v>6</v>
      </c>
      <c r="N6" s="89" t="s">
        <v>6</v>
      </c>
      <c r="O6" s="89" t="s">
        <v>6</v>
      </c>
      <c r="P6" s="9"/>
      <c r="Q6" s="93"/>
      <c r="R6" s="99" t="s">
        <v>32</v>
      </c>
      <c r="S6" s="100" t="s">
        <v>33</v>
      </c>
    </row>
    <row r="7" spans="1:20" ht="24" customHeight="1" x14ac:dyDescent="0.25">
      <c r="B7" s="2" t="s">
        <v>8</v>
      </c>
      <c r="C7" s="94" t="s">
        <v>106</v>
      </c>
      <c r="D7" s="94" t="s">
        <v>246</v>
      </c>
      <c r="E7" s="2" t="s">
        <v>232</v>
      </c>
      <c r="F7" s="2" t="s">
        <v>7</v>
      </c>
      <c r="G7" s="191">
        <v>2.9600000000000001E-2</v>
      </c>
      <c r="H7" s="191">
        <v>0.1744</v>
      </c>
      <c r="I7" s="192">
        <v>44377</v>
      </c>
      <c r="J7" s="192">
        <v>44378</v>
      </c>
      <c r="K7" s="192">
        <v>44013</v>
      </c>
      <c r="L7" s="193" t="s">
        <v>234</v>
      </c>
      <c r="M7" s="69"/>
      <c r="N7" s="69"/>
      <c r="O7" s="69">
        <f t="shared" ref="O7:O15" si="0">M7+N7</f>
        <v>0</v>
      </c>
      <c r="P7" s="29"/>
      <c r="Q7" s="69"/>
      <c r="R7" s="69"/>
      <c r="S7" s="70">
        <f t="shared" ref="S7:S15" si="1">Q7+R7</f>
        <v>0</v>
      </c>
    </row>
    <row r="8" spans="1:20" ht="30" customHeight="1" x14ac:dyDescent="0.25">
      <c r="B8" s="2" t="s">
        <v>128</v>
      </c>
      <c r="C8" s="231" t="s">
        <v>122</v>
      </c>
      <c r="D8" s="95" t="s">
        <v>248</v>
      </c>
      <c r="E8" s="2" t="s">
        <v>233</v>
      </c>
      <c r="F8" s="2" t="s">
        <v>7</v>
      </c>
      <c r="G8" s="191">
        <f>G7</f>
        <v>2.9600000000000001E-2</v>
      </c>
      <c r="H8" s="191">
        <f>H7</f>
        <v>0.1744</v>
      </c>
      <c r="I8" s="192">
        <f>I7</f>
        <v>44377</v>
      </c>
      <c r="J8" s="192">
        <f>J7</f>
        <v>44378</v>
      </c>
      <c r="K8" s="192">
        <v>43282</v>
      </c>
      <c r="L8" s="193" t="str">
        <f>L7</f>
        <v>07/01/20 - 06/30/21</v>
      </c>
      <c r="M8" s="69">
        <v>983003.25</v>
      </c>
      <c r="N8" s="69">
        <f>100000.01</f>
        <v>100000.01</v>
      </c>
      <c r="O8" s="69">
        <f t="shared" si="0"/>
        <v>1083003.26</v>
      </c>
      <c r="P8" s="29"/>
      <c r="Q8" s="69">
        <f>983003.25+100000</f>
        <v>1083003.25</v>
      </c>
      <c r="R8" s="69"/>
      <c r="S8" s="70">
        <f t="shared" si="1"/>
        <v>1083003.25</v>
      </c>
    </row>
    <row r="9" spans="1:20" ht="24.75" customHeight="1" x14ac:dyDescent="0.25">
      <c r="B9" s="2" t="s">
        <v>130</v>
      </c>
      <c r="C9" s="97" t="s">
        <v>131</v>
      </c>
      <c r="D9" s="95" t="s">
        <v>249</v>
      </c>
      <c r="E9" s="2" t="s">
        <v>237</v>
      </c>
      <c r="F9" s="2" t="s">
        <v>7</v>
      </c>
      <c r="G9" s="191">
        <f>+G8</f>
        <v>2.9600000000000001E-2</v>
      </c>
      <c r="H9" s="191">
        <f t="shared" ref="H9" si="2">+H8</f>
        <v>0.1744</v>
      </c>
      <c r="I9" s="192">
        <f>+I8</f>
        <v>44377</v>
      </c>
      <c r="J9" s="192">
        <f>J7</f>
        <v>44378</v>
      </c>
      <c r="K9" s="192">
        <f>+K8</f>
        <v>43282</v>
      </c>
      <c r="L9" s="209" t="str">
        <f>+L8</f>
        <v>07/01/20 - 06/30/21</v>
      </c>
      <c r="M9" s="69">
        <v>17007.41</v>
      </c>
      <c r="N9" s="69"/>
      <c r="O9" s="69">
        <f t="shared" si="0"/>
        <v>17007.41</v>
      </c>
      <c r="P9" s="29"/>
      <c r="Q9" s="69">
        <v>17007.41</v>
      </c>
      <c r="R9" s="69"/>
      <c r="S9" s="70">
        <f t="shared" si="1"/>
        <v>17007.41</v>
      </c>
    </row>
    <row r="10" spans="1:20" ht="24.75" customHeight="1" x14ac:dyDescent="0.25">
      <c r="B10" s="2" t="s">
        <v>241</v>
      </c>
      <c r="C10" s="243" t="s">
        <v>242</v>
      </c>
      <c r="D10" s="95" t="s">
        <v>243</v>
      </c>
      <c r="E10" s="2" t="s">
        <v>244</v>
      </c>
      <c r="F10" s="2" t="s">
        <v>7</v>
      </c>
      <c r="G10" s="191">
        <f t="shared" ref="G10:H11" si="3">+G9</f>
        <v>2.9600000000000001E-2</v>
      </c>
      <c r="H10" s="191">
        <f t="shared" si="3"/>
        <v>0.1744</v>
      </c>
      <c r="I10" s="192">
        <v>44834</v>
      </c>
      <c r="J10" s="192">
        <v>44849</v>
      </c>
      <c r="K10" s="192">
        <v>43614</v>
      </c>
      <c r="L10" s="193" t="s">
        <v>311</v>
      </c>
      <c r="M10" s="69">
        <v>71155.63</v>
      </c>
      <c r="N10" s="69"/>
      <c r="O10" s="69">
        <f t="shared" si="0"/>
        <v>71155.63</v>
      </c>
      <c r="P10" s="29"/>
      <c r="Q10" s="69"/>
      <c r="R10" s="69"/>
      <c r="S10" s="70">
        <f t="shared" si="1"/>
        <v>0</v>
      </c>
    </row>
    <row r="11" spans="1:20" ht="24.75" customHeight="1" x14ac:dyDescent="0.25">
      <c r="B11" s="2" t="s">
        <v>283</v>
      </c>
      <c r="C11" s="243" t="s">
        <v>264</v>
      </c>
      <c r="D11" s="95" t="s">
        <v>254</v>
      </c>
      <c r="E11" s="2" t="s">
        <v>284</v>
      </c>
      <c r="F11" s="2" t="s">
        <v>7</v>
      </c>
      <c r="G11" s="191">
        <f t="shared" si="3"/>
        <v>2.9600000000000001E-2</v>
      </c>
      <c r="H11" s="191">
        <f t="shared" si="3"/>
        <v>0.1744</v>
      </c>
      <c r="I11" s="192">
        <v>44377</v>
      </c>
      <c r="J11" s="192">
        <v>44392</v>
      </c>
      <c r="K11" s="192">
        <v>43613</v>
      </c>
      <c r="L11" s="193" t="s">
        <v>234</v>
      </c>
      <c r="M11" s="81">
        <v>7302.48</v>
      </c>
      <c r="N11" s="69"/>
      <c r="O11" s="69">
        <f t="shared" si="0"/>
        <v>7302.48</v>
      </c>
      <c r="P11" s="69"/>
      <c r="Q11" s="69"/>
      <c r="R11" s="69"/>
      <c r="S11" s="70">
        <f t="shared" si="1"/>
        <v>0</v>
      </c>
    </row>
    <row r="12" spans="1:20" ht="24.75" customHeight="1" x14ac:dyDescent="0.25">
      <c r="B12" s="2" t="s">
        <v>314</v>
      </c>
      <c r="C12" s="243" t="s">
        <v>242</v>
      </c>
      <c r="D12" s="95" t="s">
        <v>243</v>
      </c>
      <c r="E12" s="2" t="s">
        <v>315</v>
      </c>
      <c r="F12" s="2" t="s">
        <v>7</v>
      </c>
      <c r="G12" s="191">
        <f>+G10</f>
        <v>2.9600000000000001E-2</v>
      </c>
      <c r="H12" s="191">
        <f>+H10</f>
        <v>0.1744</v>
      </c>
      <c r="I12" s="192">
        <v>44773</v>
      </c>
      <c r="J12" s="192">
        <v>44788</v>
      </c>
      <c r="K12" s="192">
        <v>43980</v>
      </c>
      <c r="L12" s="193" t="s">
        <v>316</v>
      </c>
      <c r="M12" s="81">
        <v>2976.3</v>
      </c>
      <c r="N12" s="72"/>
      <c r="O12" s="69">
        <f t="shared" si="0"/>
        <v>2976.3</v>
      </c>
      <c r="P12" s="69"/>
      <c r="Q12" s="69"/>
      <c r="R12" s="69"/>
      <c r="S12" s="70">
        <f t="shared" si="1"/>
        <v>0</v>
      </c>
    </row>
    <row r="13" spans="1:20" ht="24.75" customHeight="1" x14ac:dyDescent="0.25">
      <c r="B13" s="2" t="s">
        <v>318</v>
      </c>
      <c r="C13" s="243" t="s">
        <v>242</v>
      </c>
      <c r="D13" s="95" t="s">
        <v>243</v>
      </c>
      <c r="E13" s="2" t="s">
        <v>319</v>
      </c>
      <c r="F13" s="2" t="s">
        <v>7</v>
      </c>
      <c r="G13" s="191">
        <v>2.9600000000000001E-2</v>
      </c>
      <c r="H13" s="191">
        <v>0.1744</v>
      </c>
      <c r="I13" s="192">
        <v>44561</v>
      </c>
      <c r="J13" s="192">
        <v>44576</v>
      </c>
      <c r="K13" s="192">
        <v>43980</v>
      </c>
      <c r="L13" s="193" t="s">
        <v>320</v>
      </c>
      <c r="M13" s="81">
        <v>3000</v>
      </c>
      <c r="N13" s="69"/>
      <c r="O13" s="69">
        <f t="shared" si="0"/>
        <v>3000</v>
      </c>
      <c r="P13" s="68"/>
      <c r="Q13" s="69"/>
      <c r="R13" s="69"/>
      <c r="S13" s="70">
        <f t="shared" si="1"/>
        <v>0</v>
      </c>
    </row>
    <row r="14" spans="1:20" ht="24.75" customHeight="1" x14ac:dyDescent="0.25">
      <c r="B14" s="2" t="s">
        <v>321</v>
      </c>
      <c r="C14" s="243" t="s">
        <v>264</v>
      </c>
      <c r="D14" s="95" t="s">
        <v>254</v>
      </c>
      <c r="E14" s="2" t="s">
        <v>322</v>
      </c>
      <c r="F14" s="2" t="s">
        <v>7</v>
      </c>
      <c r="G14" s="191">
        <v>2.9600000000000001E-2</v>
      </c>
      <c r="H14" s="191">
        <v>0.1744</v>
      </c>
      <c r="I14" s="192">
        <v>44742</v>
      </c>
      <c r="J14" s="192">
        <v>44757</v>
      </c>
      <c r="K14" s="192">
        <v>43979</v>
      </c>
      <c r="L14" s="193" t="s">
        <v>323</v>
      </c>
      <c r="M14" s="81">
        <v>1027</v>
      </c>
      <c r="N14" s="69"/>
      <c r="O14" s="69">
        <f t="shared" si="0"/>
        <v>1027</v>
      </c>
      <c r="P14" s="68"/>
      <c r="Q14" s="69"/>
      <c r="R14" s="69"/>
      <c r="S14" s="70">
        <f t="shared" si="1"/>
        <v>0</v>
      </c>
    </row>
    <row r="15" spans="1:20" ht="24.75" customHeight="1" x14ac:dyDescent="0.25">
      <c r="B15" s="2" t="s">
        <v>327</v>
      </c>
      <c r="C15" s="243" t="s">
        <v>242</v>
      </c>
      <c r="D15" s="95" t="s">
        <v>328</v>
      </c>
      <c r="E15" s="2" t="s">
        <v>329</v>
      </c>
      <c r="F15" s="2" t="s">
        <v>7</v>
      </c>
      <c r="G15" s="191">
        <v>2.9600000000000001E-2</v>
      </c>
      <c r="H15" s="191">
        <v>0.1744</v>
      </c>
      <c r="I15" s="192">
        <v>44440</v>
      </c>
      <c r="J15" s="192">
        <v>44440</v>
      </c>
      <c r="K15" s="192">
        <v>44201</v>
      </c>
      <c r="L15" s="193" t="s">
        <v>330</v>
      </c>
      <c r="M15" s="81">
        <v>154095.5</v>
      </c>
      <c r="N15" s="69"/>
      <c r="O15" s="69">
        <f t="shared" si="0"/>
        <v>154095.5</v>
      </c>
      <c r="P15" s="68"/>
      <c r="Q15" s="69"/>
      <c r="R15" s="69"/>
      <c r="S15" s="70">
        <f t="shared" si="1"/>
        <v>0</v>
      </c>
    </row>
    <row r="16" spans="1:20" x14ac:dyDescent="0.25">
      <c r="C16" s="45"/>
      <c r="D16" s="45"/>
      <c r="G16" s="126"/>
      <c r="H16" s="127" t="s">
        <v>100</v>
      </c>
      <c r="I16" s="119"/>
      <c r="J16" s="119"/>
      <c r="K16" s="119"/>
      <c r="M16" s="25"/>
      <c r="N16" s="25"/>
      <c r="O16" s="25"/>
      <c r="P16" s="29"/>
      <c r="Q16" s="25"/>
      <c r="R16" s="25"/>
      <c r="S16" s="26"/>
    </row>
    <row r="17" spans="1:19" ht="21" customHeight="1" x14ac:dyDescent="0.25">
      <c r="C17" s="4"/>
      <c r="D17" s="4"/>
      <c r="I17" s="119"/>
      <c r="J17" s="119"/>
      <c r="K17" s="119"/>
      <c r="L17" s="5" t="s">
        <v>38</v>
      </c>
      <c r="M17" s="68">
        <f>SUM(M7:M16)</f>
        <v>1239567.57</v>
      </c>
      <c r="N17" s="68">
        <f t="shared" ref="N17:S17" si="4">SUM(N7:N16)</f>
        <v>100000.01</v>
      </c>
      <c r="O17" s="68">
        <f t="shared" si="4"/>
        <v>1339567.5799999998</v>
      </c>
      <c r="P17" s="68"/>
      <c r="Q17" s="68">
        <f t="shared" si="4"/>
        <v>1100010.6599999999</v>
      </c>
      <c r="R17" s="68">
        <f t="shared" si="4"/>
        <v>0</v>
      </c>
      <c r="S17" s="23">
        <f t="shared" si="4"/>
        <v>1100010.6599999999</v>
      </c>
    </row>
    <row r="18" spans="1:19" x14ac:dyDescent="0.25">
      <c r="C18" s="4"/>
      <c r="D18" s="4"/>
      <c r="L18" s="5"/>
      <c r="M18" s="68"/>
      <c r="N18" s="68"/>
      <c r="O18" s="68"/>
      <c r="Q18" s="68"/>
      <c r="R18" s="68"/>
      <c r="S18" s="70"/>
    </row>
    <row r="19" spans="1:19" x14ac:dyDescent="0.25">
      <c r="B19" s="8" t="s">
        <v>125</v>
      </c>
      <c r="C19" s="94"/>
      <c r="D19" s="94"/>
      <c r="L19" s="5"/>
      <c r="M19" s="68"/>
      <c r="N19" s="68"/>
      <c r="O19" s="68"/>
      <c r="Q19" s="68"/>
      <c r="R19" s="68"/>
      <c r="S19" s="70"/>
    </row>
    <row r="20" spans="1:19" ht="27.75" customHeight="1" x14ac:dyDescent="0.25">
      <c r="B20" s="338" t="s">
        <v>126</v>
      </c>
      <c r="C20" s="338"/>
      <c r="D20" s="338"/>
      <c r="E20" s="338"/>
      <c r="F20" s="338"/>
      <c r="G20" s="120"/>
      <c r="H20" s="120"/>
      <c r="I20" s="114"/>
      <c r="L20" s="5"/>
      <c r="M20" s="68"/>
      <c r="N20" s="68"/>
      <c r="O20" s="68"/>
      <c r="Q20" s="68"/>
      <c r="R20" s="68"/>
      <c r="S20" s="70"/>
    </row>
    <row r="21" spans="1:19" x14ac:dyDescent="0.25">
      <c r="C21" s="94"/>
      <c r="D21" s="94"/>
      <c r="L21" s="5"/>
      <c r="M21" s="68"/>
      <c r="N21" s="68"/>
      <c r="O21" s="68"/>
      <c r="Q21" s="68"/>
      <c r="R21" s="68"/>
      <c r="S21" s="70"/>
    </row>
    <row r="22" spans="1:19" ht="48.75" customHeight="1" x14ac:dyDescent="0.25">
      <c r="B22" s="338" t="s">
        <v>129</v>
      </c>
      <c r="C22" s="338"/>
      <c r="D22" s="338"/>
      <c r="E22" s="338"/>
      <c r="F22" s="338"/>
      <c r="G22" s="120"/>
      <c r="H22" s="120"/>
      <c r="I22" s="114"/>
      <c r="L22" s="5"/>
      <c r="M22" s="68"/>
      <c r="N22" s="68"/>
      <c r="O22" s="68"/>
      <c r="Q22" s="68"/>
      <c r="R22" s="68"/>
      <c r="S22" s="70"/>
    </row>
    <row r="23" spans="1:19" x14ac:dyDescent="0.25">
      <c r="B23" s="198"/>
      <c r="C23" s="198"/>
      <c r="D23" s="198"/>
      <c r="E23" s="198"/>
      <c r="F23" s="198"/>
      <c r="G23" s="198"/>
      <c r="H23" s="198"/>
      <c r="I23" s="198"/>
      <c r="L23" s="5"/>
      <c r="M23" s="68"/>
      <c r="N23" s="68"/>
      <c r="O23" s="68"/>
      <c r="Q23" s="68"/>
      <c r="R23" s="68"/>
      <c r="S23" s="70"/>
    </row>
    <row r="24" spans="1:19" ht="33.75" customHeight="1" x14ac:dyDescent="0.25">
      <c r="B24" s="338" t="s">
        <v>160</v>
      </c>
      <c r="C24" s="338"/>
      <c r="D24" s="338"/>
      <c r="E24" s="338"/>
      <c r="F24" s="338"/>
      <c r="G24" s="198"/>
      <c r="H24" s="198"/>
      <c r="I24" s="198"/>
      <c r="L24" s="5"/>
      <c r="M24" s="68"/>
      <c r="N24" s="68"/>
      <c r="O24" s="68"/>
      <c r="Q24" s="68"/>
      <c r="R24" s="68"/>
      <c r="S24" s="70"/>
    </row>
    <row r="25" spans="1:19" ht="15" customHeight="1" x14ac:dyDescent="0.25">
      <c r="B25" s="346" t="s">
        <v>159</v>
      </c>
      <c r="C25" s="338"/>
      <c r="D25" s="338"/>
      <c r="E25" s="338"/>
      <c r="F25" s="338"/>
      <c r="G25" s="198"/>
      <c r="H25" s="198"/>
      <c r="I25" s="198"/>
      <c r="L25" s="5"/>
      <c r="M25" s="68"/>
      <c r="N25" s="68"/>
      <c r="O25" s="68"/>
      <c r="Q25" s="68"/>
      <c r="R25" s="68"/>
      <c r="S25" s="70"/>
    </row>
    <row r="26" spans="1:19" ht="15" customHeight="1" x14ac:dyDescent="0.25">
      <c r="B26" s="200"/>
      <c r="C26" s="200"/>
      <c r="D26" s="200"/>
      <c r="E26" s="200"/>
      <c r="F26" s="200"/>
      <c r="G26" s="200"/>
      <c r="H26" s="200"/>
      <c r="I26" s="200"/>
      <c r="L26" s="5"/>
      <c r="M26" s="68"/>
      <c r="N26" s="68"/>
      <c r="O26" s="68"/>
      <c r="Q26" s="68"/>
      <c r="R26" s="68"/>
      <c r="S26" s="70"/>
    </row>
    <row r="27" spans="1:19" x14ac:dyDescent="0.25">
      <c r="B27" s="111"/>
      <c r="C27" s="111"/>
      <c r="D27" s="111"/>
      <c r="E27" s="111"/>
      <c r="F27" s="111"/>
      <c r="G27" s="120"/>
      <c r="H27" s="120"/>
      <c r="I27" s="114"/>
      <c r="L27" s="5"/>
      <c r="M27" s="68"/>
      <c r="N27" s="68"/>
      <c r="O27" s="68"/>
      <c r="Q27" s="68"/>
      <c r="R27" s="68"/>
      <c r="S27" s="70"/>
    </row>
    <row r="28" spans="1:19" x14ac:dyDescent="0.25">
      <c r="B28" s="7" t="s">
        <v>109</v>
      </c>
      <c r="C28" s="104" t="s">
        <v>112</v>
      </c>
      <c r="D28" s="104" t="s">
        <v>113</v>
      </c>
      <c r="E28" s="111"/>
      <c r="F28" s="111"/>
      <c r="G28" s="120"/>
      <c r="H28" s="120"/>
      <c r="I28" s="114"/>
      <c r="L28" s="5"/>
      <c r="M28" s="68"/>
      <c r="N28" s="68"/>
      <c r="O28" s="68"/>
      <c r="Q28" s="68"/>
      <c r="R28" s="68"/>
      <c r="S28" s="70"/>
    </row>
    <row r="29" spans="1:19" x14ac:dyDescent="0.25">
      <c r="A29" s="2" t="s">
        <v>110</v>
      </c>
      <c r="B29" s="2" t="s">
        <v>110</v>
      </c>
      <c r="C29" s="94" t="s">
        <v>116</v>
      </c>
      <c r="D29" s="94" t="s">
        <v>118</v>
      </c>
      <c r="L29" s="5"/>
      <c r="M29" s="68"/>
      <c r="N29" s="68"/>
      <c r="O29" s="68"/>
      <c r="Q29" s="68"/>
      <c r="R29" s="68"/>
      <c r="S29" s="70"/>
    </row>
    <row r="30" spans="1:19" x14ac:dyDescent="0.25">
      <c r="B30" s="2" t="s">
        <v>111</v>
      </c>
      <c r="C30" s="94" t="s">
        <v>114</v>
      </c>
      <c r="D30" s="94" t="s">
        <v>119</v>
      </c>
      <c r="L30" s="5"/>
      <c r="M30" s="68"/>
      <c r="N30" s="68"/>
      <c r="O30" s="68"/>
      <c r="Q30" s="68"/>
      <c r="R30" s="68"/>
      <c r="S30" s="70"/>
    </row>
    <row r="31" spans="1:19" x14ac:dyDescent="0.25">
      <c r="B31" s="2" t="s">
        <v>252</v>
      </c>
      <c r="C31" s="94" t="s">
        <v>135</v>
      </c>
      <c r="D31" s="94" t="s">
        <v>147</v>
      </c>
      <c r="L31" s="5"/>
      <c r="M31" s="68"/>
      <c r="N31" s="68"/>
      <c r="O31" s="68"/>
      <c r="Q31" s="68"/>
      <c r="R31" s="68"/>
      <c r="S31" s="70"/>
    </row>
    <row r="32" spans="1:19" x14ac:dyDescent="0.25">
      <c r="B32" s="2" t="s">
        <v>260</v>
      </c>
      <c r="C32" s="94" t="s">
        <v>135</v>
      </c>
      <c r="D32" s="94" t="s">
        <v>147</v>
      </c>
      <c r="L32" s="5"/>
      <c r="M32" s="68"/>
      <c r="N32" s="68"/>
      <c r="O32" s="68"/>
      <c r="Q32" s="68"/>
      <c r="R32" s="68"/>
      <c r="S32" s="70"/>
    </row>
    <row r="33" spans="2:20" x14ac:dyDescent="0.25">
      <c r="B33" s="2" t="s">
        <v>314</v>
      </c>
      <c r="C33" s="94" t="s">
        <v>135</v>
      </c>
      <c r="D33" s="94" t="s">
        <v>147</v>
      </c>
      <c r="L33" s="5"/>
      <c r="M33" s="68"/>
      <c r="N33" s="68"/>
      <c r="O33" s="68"/>
      <c r="Q33" s="68"/>
      <c r="R33" s="68"/>
      <c r="S33" s="70"/>
    </row>
    <row r="34" spans="2:20" x14ac:dyDescent="0.25">
      <c r="B34" s="2" t="s">
        <v>318</v>
      </c>
      <c r="C34" s="94" t="s">
        <v>135</v>
      </c>
      <c r="D34" s="94" t="s">
        <v>147</v>
      </c>
      <c r="L34" s="5"/>
      <c r="M34" s="68"/>
      <c r="N34" s="68"/>
      <c r="O34" s="68"/>
      <c r="Q34" s="68"/>
      <c r="R34" s="68"/>
      <c r="S34" s="70"/>
    </row>
    <row r="35" spans="2:20" x14ac:dyDescent="0.25">
      <c r="B35" s="2" t="s">
        <v>321</v>
      </c>
      <c r="C35" s="94" t="s">
        <v>135</v>
      </c>
      <c r="D35" s="94" t="s">
        <v>147</v>
      </c>
      <c r="L35" s="5"/>
      <c r="M35" s="68"/>
      <c r="N35" s="68"/>
      <c r="O35" s="68"/>
      <c r="Q35" s="68"/>
      <c r="R35" s="68"/>
      <c r="S35" s="70"/>
    </row>
    <row r="36" spans="2:20" x14ac:dyDescent="0.25">
      <c r="B36" s="2" t="s">
        <v>326</v>
      </c>
      <c r="C36" s="94" t="s">
        <v>135</v>
      </c>
      <c r="D36" s="94" t="s">
        <v>147</v>
      </c>
      <c r="L36" s="5"/>
      <c r="M36" s="68"/>
      <c r="N36" s="68"/>
      <c r="O36" s="68"/>
      <c r="Q36" s="68"/>
      <c r="R36" s="68"/>
      <c r="S36" s="70"/>
    </row>
    <row r="37" spans="2:20" x14ac:dyDescent="0.25">
      <c r="C37" s="94"/>
      <c r="D37" s="94"/>
      <c r="L37" s="5"/>
      <c r="M37" s="68"/>
      <c r="N37" s="68"/>
      <c r="O37" s="68"/>
      <c r="Q37" s="68"/>
      <c r="R37" s="68"/>
      <c r="S37" s="70"/>
    </row>
    <row r="38" spans="2:20" x14ac:dyDescent="0.25">
      <c r="B38" s="269" t="s">
        <v>235</v>
      </c>
      <c r="C38" s="94"/>
      <c r="D38" s="94"/>
      <c r="L38" s="5"/>
      <c r="M38" s="68"/>
      <c r="N38" s="68"/>
      <c r="O38" s="68"/>
      <c r="Q38" s="68"/>
      <c r="R38" s="68"/>
      <c r="S38" s="70"/>
    </row>
    <row r="39" spans="2:20" x14ac:dyDescent="0.25">
      <c r="B39" s="333" t="s">
        <v>236</v>
      </c>
      <c r="C39" s="333"/>
      <c r="D39" s="333"/>
      <c r="E39" s="333"/>
      <c r="F39" s="333"/>
      <c r="G39" s="333"/>
      <c r="H39" s="333"/>
      <c r="L39" s="5"/>
      <c r="M39" s="68"/>
      <c r="N39" s="68"/>
      <c r="O39" s="68"/>
      <c r="Q39" s="68"/>
      <c r="R39" s="68"/>
      <c r="S39" s="70"/>
    </row>
    <row r="40" spans="2:20" ht="15" customHeight="1" x14ac:dyDescent="0.25">
      <c r="B40" s="29"/>
      <c r="C40" s="29"/>
      <c r="I40" s="29"/>
      <c r="J40" s="29"/>
      <c r="K40" s="29"/>
      <c r="L40" s="29"/>
      <c r="M40" s="29"/>
      <c r="N40" s="29"/>
      <c r="O40" s="29"/>
      <c r="P40" s="29"/>
      <c r="Q40" s="59"/>
      <c r="R40" s="49"/>
      <c r="S40" s="170"/>
    </row>
    <row r="41" spans="2:20" ht="15" customHeight="1" x14ac:dyDescent="0.25">
      <c r="B41" s="112"/>
      <c r="C41" s="112"/>
      <c r="D41" s="112"/>
      <c r="E41" s="112"/>
      <c r="F41" s="112"/>
      <c r="G41" s="112"/>
      <c r="H41" s="112"/>
      <c r="I41" s="112"/>
      <c r="J41" s="112"/>
      <c r="K41" s="112"/>
      <c r="L41" s="112"/>
      <c r="M41" s="112"/>
      <c r="N41" s="112"/>
      <c r="O41" s="112"/>
      <c r="P41" s="112"/>
      <c r="Q41" s="175" t="s">
        <v>90</v>
      </c>
      <c r="R41" s="176"/>
      <c r="S41" s="177"/>
      <c r="T41" s="51"/>
    </row>
    <row r="42" spans="2:20" x14ac:dyDescent="0.25">
      <c r="B42" s="17" t="s">
        <v>39</v>
      </c>
      <c r="C42" s="248" t="s">
        <v>2</v>
      </c>
      <c r="D42" s="248"/>
      <c r="E42" s="248" t="s">
        <v>34</v>
      </c>
      <c r="F42" s="248" t="s">
        <v>35</v>
      </c>
      <c r="G42" s="248"/>
      <c r="H42" s="248"/>
      <c r="I42" s="248"/>
      <c r="J42" s="248"/>
      <c r="K42" s="248"/>
      <c r="L42" s="248" t="s">
        <v>36</v>
      </c>
      <c r="M42" s="248" t="s">
        <v>37</v>
      </c>
      <c r="N42" s="10"/>
      <c r="O42" s="10"/>
      <c r="P42" s="10"/>
      <c r="Q42" s="54" t="s">
        <v>88</v>
      </c>
      <c r="R42" s="54"/>
      <c r="S42" s="55"/>
      <c r="T42" s="51"/>
    </row>
    <row r="43" spans="2:20" x14ac:dyDescent="0.25">
      <c r="B43" s="65"/>
      <c r="C43" s="9"/>
      <c r="D43" s="9"/>
      <c r="E43" s="9"/>
      <c r="F43" s="9"/>
      <c r="G43" s="9"/>
      <c r="H43" s="9"/>
      <c r="I43" s="9"/>
      <c r="J43" s="9"/>
      <c r="K43" s="9"/>
      <c r="L43" s="9"/>
      <c r="M43" s="9"/>
      <c r="N43" s="45"/>
      <c r="O43" s="45"/>
      <c r="P43" s="45"/>
      <c r="R43" s="51"/>
      <c r="S43" s="51"/>
      <c r="T43" s="51"/>
    </row>
    <row r="44" spans="2:20" x14ac:dyDescent="0.25">
      <c r="B44" s="65"/>
      <c r="C44" s="9"/>
      <c r="D44" s="13"/>
      <c r="E44" s="41"/>
      <c r="F44" s="15"/>
      <c r="G44" s="15"/>
      <c r="H44" s="15"/>
      <c r="I44" s="15"/>
      <c r="J44" s="15"/>
      <c r="K44" s="15"/>
      <c r="L44" s="16"/>
      <c r="M44" s="31"/>
      <c r="Q44" s="51"/>
      <c r="R44" s="51"/>
      <c r="S44" s="51"/>
      <c r="T44" s="51"/>
    </row>
    <row r="45" spans="2:20" x14ac:dyDescent="0.25">
      <c r="B45" s="12"/>
      <c r="C45" s="13"/>
      <c r="D45" s="13"/>
      <c r="E45" s="41"/>
      <c r="F45" s="15"/>
      <c r="G45" s="15"/>
      <c r="H45" s="15"/>
      <c r="I45" s="15"/>
      <c r="J45" s="15"/>
      <c r="K45" s="15"/>
      <c r="L45" s="16"/>
      <c r="M45" s="31"/>
      <c r="Q45" s="51"/>
      <c r="R45" s="51"/>
      <c r="S45" s="51"/>
      <c r="T45" s="51"/>
    </row>
    <row r="46" spans="2:20" x14ac:dyDescent="0.25">
      <c r="B46" s="12"/>
      <c r="C46" s="13"/>
      <c r="D46" s="13"/>
      <c r="E46" s="41"/>
      <c r="F46" s="15"/>
      <c r="G46" s="15"/>
      <c r="H46" s="15"/>
      <c r="I46" s="15"/>
      <c r="J46" s="15"/>
      <c r="K46" s="15"/>
      <c r="L46" s="16"/>
      <c r="M46" s="31"/>
      <c r="Q46" s="51"/>
      <c r="R46" s="51"/>
      <c r="S46" s="51"/>
      <c r="T46" s="51"/>
    </row>
    <row r="47" spans="2:20" x14ac:dyDescent="0.25">
      <c r="B47" s="12"/>
      <c r="C47" s="13"/>
      <c r="D47" s="13"/>
      <c r="E47" s="41"/>
      <c r="F47" s="15"/>
      <c r="G47" s="15"/>
      <c r="H47" s="15"/>
      <c r="I47" s="15"/>
      <c r="J47" s="15"/>
      <c r="K47" s="15"/>
      <c r="L47" s="16"/>
      <c r="M47" s="31"/>
      <c r="T47" s="51"/>
    </row>
    <row r="48" spans="2:20" ht="15" customHeight="1" x14ac:dyDescent="0.25">
      <c r="B48" s="12"/>
      <c r="C48" s="13"/>
      <c r="D48" s="13"/>
      <c r="E48" s="41"/>
      <c r="F48" s="15"/>
      <c r="G48" s="15"/>
      <c r="H48" s="15"/>
      <c r="I48" s="15"/>
      <c r="J48" s="15"/>
      <c r="K48" s="15"/>
      <c r="L48" s="16"/>
      <c r="M48" s="20"/>
      <c r="N48" s="18"/>
      <c r="O48" s="18"/>
      <c r="P48" s="18"/>
    </row>
    <row r="49" spans="2:19" x14ac:dyDescent="0.25">
      <c r="B49" s="12"/>
      <c r="C49" s="13"/>
      <c r="D49" s="40"/>
      <c r="E49" s="41"/>
      <c r="F49" s="38"/>
      <c r="G49" s="38"/>
      <c r="H49" s="38"/>
      <c r="I49" s="38"/>
      <c r="J49" s="38"/>
      <c r="K49" s="38"/>
      <c r="L49" s="39"/>
      <c r="M49" s="34"/>
      <c r="N49" s="107"/>
      <c r="O49" s="29"/>
      <c r="P49" s="29"/>
    </row>
    <row r="50" spans="2:19" x14ac:dyDescent="0.25">
      <c r="B50" s="36"/>
      <c r="C50" s="40"/>
      <c r="D50" s="40"/>
      <c r="E50" s="41"/>
      <c r="F50" s="71"/>
      <c r="G50" s="71"/>
      <c r="H50" s="71"/>
      <c r="I50" s="71"/>
      <c r="J50" s="71"/>
      <c r="K50" s="71"/>
      <c r="L50" s="33"/>
      <c r="M50" s="31"/>
      <c r="N50" s="107"/>
      <c r="Q50" s="325" t="s">
        <v>343</v>
      </c>
      <c r="R50" s="325"/>
      <c r="S50" s="327">
        <f>S17</f>
        <v>1100010.6599999999</v>
      </c>
    </row>
    <row r="51" spans="2:19" x14ac:dyDescent="0.25">
      <c r="C51" s="40"/>
      <c r="D51" s="40"/>
      <c r="E51" s="41"/>
      <c r="F51" s="71"/>
      <c r="G51" s="71"/>
      <c r="H51" s="71"/>
      <c r="I51" s="71"/>
      <c r="J51" s="71"/>
      <c r="K51" s="71"/>
      <c r="L51" s="33"/>
      <c r="M51" s="31"/>
      <c r="N51" s="108"/>
    </row>
    <row r="52" spans="2:19" x14ac:dyDescent="0.25">
      <c r="C52" s="40"/>
      <c r="D52" s="40"/>
      <c r="E52" s="41"/>
      <c r="F52" s="71"/>
      <c r="G52" s="71"/>
      <c r="H52" s="71"/>
      <c r="I52" s="71"/>
      <c r="J52" s="71"/>
      <c r="K52" s="71"/>
      <c r="L52" s="33"/>
      <c r="M52" s="35"/>
      <c r="N52" s="37"/>
      <c r="O52" s="37"/>
      <c r="P52" s="29"/>
    </row>
    <row r="53" spans="2:19" ht="15" customHeight="1" x14ac:dyDescent="0.25">
      <c r="C53" s="40"/>
      <c r="D53" s="40"/>
      <c r="E53" s="41"/>
      <c r="F53" s="38"/>
      <c r="G53" s="38"/>
      <c r="H53" s="38"/>
      <c r="I53" s="38"/>
      <c r="J53" s="38"/>
      <c r="K53" s="38"/>
      <c r="L53" s="33"/>
      <c r="M53" s="31"/>
      <c r="N53" s="101"/>
      <c r="O53" s="101"/>
      <c r="P53" s="29"/>
    </row>
    <row r="54" spans="2:19" x14ac:dyDescent="0.25">
      <c r="B54" s="36"/>
      <c r="C54" s="40"/>
      <c r="D54" s="40"/>
      <c r="E54" s="41"/>
      <c r="F54" s="38"/>
      <c r="G54" s="38"/>
      <c r="H54" s="38"/>
      <c r="I54" s="38"/>
      <c r="J54" s="38"/>
      <c r="K54" s="38"/>
      <c r="L54" s="33"/>
      <c r="M54" s="31"/>
      <c r="N54" s="101"/>
      <c r="O54" s="101"/>
      <c r="P54" s="29"/>
    </row>
    <row r="55" spans="2:19" x14ac:dyDescent="0.25">
      <c r="B55" s="36"/>
      <c r="C55" s="40"/>
      <c r="D55" s="40"/>
      <c r="E55" s="41"/>
      <c r="F55" s="38"/>
      <c r="G55" s="38"/>
      <c r="H55" s="38"/>
      <c r="I55" s="38"/>
      <c r="J55" s="38"/>
      <c r="K55" s="38"/>
      <c r="L55" s="33"/>
      <c r="M55" s="31"/>
      <c r="N55" s="101"/>
      <c r="O55" s="101"/>
      <c r="P55" s="29"/>
    </row>
    <row r="56" spans="2:19" ht="16.5" customHeight="1" x14ac:dyDescent="0.25">
      <c r="B56" s="36"/>
      <c r="C56" s="40"/>
      <c r="D56" s="40"/>
      <c r="E56" s="41"/>
      <c r="F56" s="38"/>
      <c r="G56" s="38"/>
      <c r="H56" s="38"/>
      <c r="I56" s="38"/>
      <c r="J56" s="38"/>
      <c r="K56" s="38"/>
      <c r="L56" s="39"/>
      <c r="M56" s="20"/>
      <c r="N56" s="101"/>
      <c r="O56" s="101"/>
      <c r="P56" s="29"/>
    </row>
    <row r="57" spans="2:19" ht="15" hidden="1" customHeight="1" x14ac:dyDescent="0.25">
      <c r="B57" s="36"/>
      <c r="C57" s="40"/>
    </row>
    <row r="58" spans="2:19" ht="15" customHeight="1" x14ac:dyDescent="0.25">
      <c r="E58" s="21"/>
      <c r="F58" s="105"/>
      <c r="G58" s="105"/>
      <c r="H58" s="105"/>
      <c r="I58" s="105"/>
      <c r="J58" s="105"/>
      <c r="K58" s="105"/>
    </row>
    <row r="61" spans="2:19" ht="15" customHeight="1" x14ac:dyDescent="0.25"/>
  </sheetData>
  <mergeCells count="7">
    <mergeCell ref="B39:H39"/>
    <mergeCell ref="B25:F25"/>
    <mergeCell ref="Q2:S2"/>
    <mergeCell ref="Q1:S1"/>
    <mergeCell ref="B20:F20"/>
    <mergeCell ref="B22:F22"/>
    <mergeCell ref="B24:F24"/>
  </mergeCells>
  <hyperlinks>
    <hyperlink ref="B25" r:id="rId1"/>
  </hyperlinks>
  <printOptions horizontalCentered="1" gridLines="1"/>
  <pageMargins left="0" right="0" top="0.75" bottom="0.75" header="0.3" footer="0.3"/>
  <pageSetup scale="53" orientation="landscape" horizontalDpi="1200" verticalDpi="1200"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9"/>
  <sheetViews>
    <sheetView topLeftCell="H28" zoomScale="130" zoomScaleNormal="130" workbookViewId="0">
      <selection activeCell="S50" sqref="S50"/>
    </sheetView>
  </sheetViews>
  <sheetFormatPr defaultColWidth="9.140625" defaultRowHeight="15" x14ac:dyDescent="0.25"/>
  <cols>
    <col min="1" max="1" width="9.140625" style="2" hidden="1" customWidth="1"/>
    <col min="2" max="2" width="58.28515625" style="2" customWidth="1"/>
    <col min="3" max="3" width="30.85546875" style="2" customWidth="1"/>
    <col min="4" max="4" width="13.7109375" style="2" customWidth="1"/>
    <col min="5" max="5" width="17.28515625" style="2" customWidth="1"/>
    <col min="6" max="6" width="21" style="2" customWidth="1"/>
    <col min="7" max="7" width="11.28515625" style="2" customWidth="1"/>
    <col min="8" max="8" width="14.42578125" style="2" customWidth="1"/>
    <col min="9" max="9" width="13.28515625" style="2" customWidth="1"/>
    <col min="10" max="10" width="14.85546875" style="2" customWidth="1"/>
    <col min="11" max="11" width="8" style="2" customWidth="1"/>
    <col min="12" max="12" width="18.85546875" style="2" customWidth="1"/>
    <col min="13" max="13" width="13.28515625" style="2" bestFit="1" customWidth="1"/>
    <col min="14" max="14" width="13.7109375" style="2" customWidth="1"/>
    <col min="15" max="15" width="14.42578125" style="2" customWidth="1"/>
    <col min="16" max="16" width="3.140625" style="2" customWidth="1"/>
    <col min="17" max="17" width="14.5703125" style="2" customWidth="1"/>
    <col min="18" max="18" width="14.140625" style="2" customWidth="1"/>
    <col min="19" max="19" width="16.7109375" style="2" customWidth="1"/>
    <col min="20" max="16384" width="9.140625" style="2"/>
  </cols>
  <sheetData>
    <row r="1" spans="1:20" ht="15.6" customHeight="1" x14ac:dyDescent="0.25">
      <c r="A1" s="2" t="s">
        <v>342</v>
      </c>
      <c r="B1" s="1" t="s">
        <v>167</v>
      </c>
      <c r="Q1" s="335" t="s">
        <v>230</v>
      </c>
      <c r="R1" s="335"/>
      <c r="S1" s="335"/>
    </row>
    <row r="2" spans="1:20" x14ac:dyDescent="0.25">
      <c r="B2" s="90" t="s">
        <v>148</v>
      </c>
      <c r="C2" s="187">
        <v>44377</v>
      </c>
      <c r="M2" s="73"/>
      <c r="N2" s="73"/>
      <c r="P2" s="29"/>
      <c r="Q2" s="334" t="s">
        <v>338</v>
      </c>
      <c r="R2" s="334"/>
      <c r="S2" s="334"/>
    </row>
    <row r="3" spans="1:20" ht="15.75" thickBot="1" x14ac:dyDescent="0.3">
      <c r="A3" s="2" t="s">
        <v>16</v>
      </c>
      <c r="B3" s="44" t="s">
        <v>71</v>
      </c>
      <c r="C3" s="8"/>
      <c r="D3" s="8"/>
      <c r="E3" s="8"/>
      <c r="P3" s="29"/>
      <c r="Q3" s="45"/>
      <c r="R3" s="30"/>
    </row>
    <row r="4" spans="1:20" x14ac:dyDescent="0.25">
      <c r="B4" s="8" t="s">
        <v>174</v>
      </c>
      <c r="M4" s="87" t="s">
        <v>28</v>
      </c>
      <c r="N4" s="87" t="s">
        <v>28</v>
      </c>
      <c r="O4" s="87" t="s">
        <v>28</v>
      </c>
      <c r="P4" s="9"/>
      <c r="Q4" s="91" t="s">
        <v>29</v>
      </c>
      <c r="R4" s="91" t="s">
        <v>31</v>
      </c>
      <c r="S4" s="91" t="s">
        <v>23</v>
      </c>
      <c r="T4" s="7"/>
    </row>
    <row r="5" spans="1:20" ht="15.75" thickBot="1" x14ac:dyDescent="0.3">
      <c r="G5" s="188" t="s">
        <v>231</v>
      </c>
      <c r="H5" s="188" t="s">
        <v>231</v>
      </c>
      <c r="M5" s="88" t="s">
        <v>27</v>
      </c>
      <c r="N5" s="88" t="s">
        <v>26</v>
      </c>
      <c r="O5" s="88" t="s">
        <v>25</v>
      </c>
      <c r="P5" s="9"/>
      <c r="Q5" s="92" t="s">
        <v>30</v>
      </c>
      <c r="R5" s="92" t="s">
        <v>30</v>
      </c>
      <c r="S5" s="92" t="s">
        <v>30</v>
      </c>
      <c r="T5" s="7"/>
    </row>
    <row r="6" spans="1:20" ht="85.5" customHeight="1" thickBot="1" x14ac:dyDescent="0.3">
      <c r="B6" s="86" t="s">
        <v>1</v>
      </c>
      <c r="C6" s="86" t="s">
        <v>127</v>
      </c>
      <c r="D6" s="86" t="s">
        <v>107</v>
      </c>
      <c r="E6" s="86" t="s">
        <v>3</v>
      </c>
      <c r="F6" s="86" t="s">
        <v>4</v>
      </c>
      <c r="G6" s="110" t="s">
        <v>136</v>
      </c>
      <c r="H6" s="110" t="s">
        <v>137</v>
      </c>
      <c r="I6" s="110" t="s">
        <v>133</v>
      </c>
      <c r="J6" s="110" t="s">
        <v>134</v>
      </c>
      <c r="K6" s="110" t="s">
        <v>121</v>
      </c>
      <c r="L6" s="85" t="s">
        <v>5</v>
      </c>
      <c r="M6" s="89" t="s">
        <v>6</v>
      </c>
      <c r="N6" s="89" t="s">
        <v>6</v>
      </c>
      <c r="O6" s="89" t="s">
        <v>6</v>
      </c>
      <c r="P6" s="9"/>
      <c r="Q6" s="93"/>
      <c r="R6" s="99" t="s">
        <v>32</v>
      </c>
      <c r="S6" s="100" t="s">
        <v>33</v>
      </c>
    </row>
    <row r="7" spans="1:20" ht="41.25" customHeight="1" x14ac:dyDescent="0.25">
      <c r="B7" s="2" t="s">
        <v>128</v>
      </c>
      <c r="C7" s="231" t="s">
        <v>122</v>
      </c>
      <c r="D7" s="95" t="s">
        <v>248</v>
      </c>
      <c r="E7" s="2" t="s">
        <v>232</v>
      </c>
      <c r="F7" s="2" t="s">
        <v>7</v>
      </c>
      <c r="G7" s="191">
        <v>2.9600000000000001E-2</v>
      </c>
      <c r="H7" s="191">
        <v>0.1744</v>
      </c>
      <c r="I7" s="192">
        <v>44377</v>
      </c>
      <c r="J7" s="192">
        <v>44378</v>
      </c>
      <c r="K7" s="192">
        <v>44013</v>
      </c>
      <c r="L7" s="193" t="s">
        <v>234</v>
      </c>
      <c r="M7" s="69">
        <v>412821.43</v>
      </c>
      <c r="N7" s="69"/>
      <c r="O7" s="69">
        <f>M7+N7</f>
        <v>412821.43</v>
      </c>
      <c r="P7" s="29"/>
      <c r="Q7" s="69">
        <v>412821.43</v>
      </c>
      <c r="R7" s="69"/>
      <c r="S7" s="70">
        <f>Q7+R7</f>
        <v>412821.43</v>
      </c>
    </row>
    <row r="8" spans="1:20" ht="26.25" customHeight="1" x14ac:dyDescent="0.25">
      <c r="B8" s="2" t="s">
        <v>130</v>
      </c>
      <c r="C8" s="243" t="s">
        <v>131</v>
      </c>
      <c r="D8" s="95" t="s">
        <v>249</v>
      </c>
      <c r="E8" s="2" t="s">
        <v>233</v>
      </c>
      <c r="F8" s="2" t="s">
        <v>7</v>
      </c>
      <c r="G8" s="191">
        <f t="shared" ref="G8:L8" si="0">+G7</f>
        <v>2.9600000000000001E-2</v>
      </c>
      <c r="H8" s="191">
        <f t="shared" si="0"/>
        <v>0.1744</v>
      </c>
      <c r="I8" s="192">
        <f t="shared" si="0"/>
        <v>44377</v>
      </c>
      <c r="J8" s="192">
        <f t="shared" si="0"/>
        <v>44378</v>
      </c>
      <c r="K8" s="192">
        <f t="shared" si="0"/>
        <v>44013</v>
      </c>
      <c r="L8" s="193" t="str">
        <f t="shared" si="0"/>
        <v>07/01/20 - 06/30/21</v>
      </c>
      <c r="M8" s="69"/>
      <c r="N8" s="69"/>
      <c r="O8" s="69">
        <f t="shared" ref="O8:O9" si="1">M8+N8</f>
        <v>0</v>
      </c>
      <c r="P8" s="29"/>
      <c r="Q8" s="69"/>
      <c r="R8" s="69"/>
      <c r="S8" s="70">
        <f t="shared" ref="S8:S9" si="2">Q8+R8</f>
        <v>0</v>
      </c>
    </row>
    <row r="9" spans="1:20" ht="26.25" customHeight="1" x14ac:dyDescent="0.25">
      <c r="B9" s="2" t="s">
        <v>241</v>
      </c>
      <c r="C9" s="243" t="s">
        <v>242</v>
      </c>
      <c r="D9" s="95" t="s">
        <v>243</v>
      </c>
      <c r="E9" s="2" t="s">
        <v>244</v>
      </c>
      <c r="F9" s="2" t="s">
        <v>7</v>
      </c>
      <c r="G9" s="191">
        <f t="shared" ref="G9:H10" si="3">+G8</f>
        <v>2.9600000000000001E-2</v>
      </c>
      <c r="H9" s="191">
        <f t="shared" si="3"/>
        <v>0.1744</v>
      </c>
      <c r="I9" s="192">
        <v>44834</v>
      </c>
      <c r="J9" s="192">
        <v>44849</v>
      </c>
      <c r="K9" s="192">
        <v>43614</v>
      </c>
      <c r="L9" s="193" t="s">
        <v>311</v>
      </c>
      <c r="M9" s="69">
        <v>22158.99</v>
      </c>
      <c r="N9" s="69"/>
      <c r="O9" s="69">
        <f t="shared" si="1"/>
        <v>22158.99</v>
      </c>
      <c r="P9" s="29"/>
      <c r="Q9" s="69"/>
      <c r="R9" s="69"/>
      <c r="S9" s="70">
        <f t="shared" si="2"/>
        <v>0</v>
      </c>
    </row>
    <row r="10" spans="1:20" ht="26.25" customHeight="1" x14ac:dyDescent="0.25">
      <c r="B10" s="2" t="s">
        <v>283</v>
      </c>
      <c r="C10" s="243" t="s">
        <v>264</v>
      </c>
      <c r="D10" s="95" t="s">
        <v>254</v>
      </c>
      <c r="E10" s="2" t="s">
        <v>284</v>
      </c>
      <c r="F10" s="2" t="s">
        <v>7</v>
      </c>
      <c r="G10" s="191">
        <f t="shared" si="3"/>
        <v>2.9600000000000001E-2</v>
      </c>
      <c r="H10" s="191">
        <f t="shared" si="3"/>
        <v>0.1744</v>
      </c>
      <c r="I10" s="192">
        <v>44377</v>
      </c>
      <c r="J10" s="192">
        <v>44392</v>
      </c>
      <c r="K10" s="192">
        <v>43613</v>
      </c>
      <c r="L10" s="193" t="s">
        <v>234</v>
      </c>
      <c r="M10" s="81">
        <v>7302.48</v>
      </c>
      <c r="N10" s="69"/>
      <c r="O10" s="69">
        <f>M10+N10</f>
        <v>7302.48</v>
      </c>
      <c r="P10" s="69"/>
      <c r="Q10" s="69"/>
      <c r="R10" s="69"/>
      <c r="S10" s="70">
        <f>Q10+R10</f>
        <v>0</v>
      </c>
    </row>
    <row r="11" spans="1:20" ht="26.25" customHeight="1" x14ac:dyDescent="0.25">
      <c r="B11" s="2" t="s">
        <v>318</v>
      </c>
      <c r="C11" s="243" t="s">
        <v>242</v>
      </c>
      <c r="D11" s="95" t="s">
        <v>243</v>
      </c>
      <c r="E11" s="2" t="s">
        <v>319</v>
      </c>
      <c r="F11" s="2" t="s">
        <v>7</v>
      </c>
      <c r="G11" s="191">
        <v>2.9600000000000001E-2</v>
      </c>
      <c r="H11" s="191">
        <v>0.1744</v>
      </c>
      <c r="I11" s="192">
        <v>44561</v>
      </c>
      <c r="J11" s="192">
        <v>44576</v>
      </c>
      <c r="K11" s="192">
        <v>43980</v>
      </c>
      <c r="L11" s="193" t="s">
        <v>320</v>
      </c>
      <c r="M11" s="81">
        <v>3000</v>
      </c>
      <c r="N11" s="69"/>
      <c r="O11" s="69">
        <f t="shared" ref="O11:O13" si="4">M11+N11</f>
        <v>3000</v>
      </c>
      <c r="P11" s="68"/>
      <c r="Q11" s="69"/>
      <c r="R11" s="69"/>
      <c r="S11" s="70">
        <f t="shared" ref="S11:S13" si="5">Q11+R11</f>
        <v>0</v>
      </c>
    </row>
    <row r="12" spans="1:20" ht="26.25" customHeight="1" x14ac:dyDescent="0.25">
      <c r="B12" s="2" t="s">
        <v>321</v>
      </c>
      <c r="C12" s="243" t="s">
        <v>264</v>
      </c>
      <c r="D12" s="95" t="s">
        <v>254</v>
      </c>
      <c r="E12" s="2" t="s">
        <v>322</v>
      </c>
      <c r="F12" s="2" t="s">
        <v>7</v>
      </c>
      <c r="G12" s="191">
        <v>2.9600000000000001E-2</v>
      </c>
      <c r="H12" s="191">
        <v>0.1744</v>
      </c>
      <c r="I12" s="192">
        <v>44742</v>
      </c>
      <c r="J12" s="192">
        <v>44757</v>
      </c>
      <c r="K12" s="192">
        <v>43979</v>
      </c>
      <c r="L12" s="193" t="s">
        <v>323</v>
      </c>
      <c r="M12" s="81">
        <v>1027</v>
      </c>
      <c r="N12" s="69"/>
      <c r="O12" s="69">
        <f t="shared" si="4"/>
        <v>1027</v>
      </c>
      <c r="P12" s="68"/>
      <c r="Q12" s="69"/>
      <c r="R12" s="69"/>
      <c r="S12" s="70">
        <f t="shared" si="5"/>
        <v>0</v>
      </c>
    </row>
    <row r="13" spans="1:20" ht="26.25" customHeight="1" x14ac:dyDescent="0.25">
      <c r="B13" s="2" t="s">
        <v>327</v>
      </c>
      <c r="C13" s="243" t="s">
        <v>242</v>
      </c>
      <c r="D13" s="95" t="s">
        <v>328</v>
      </c>
      <c r="E13" s="2" t="s">
        <v>329</v>
      </c>
      <c r="F13" s="2" t="s">
        <v>7</v>
      </c>
      <c r="G13" s="191">
        <v>2.9600000000000001E-2</v>
      </c>
      <c r="H13" s="191">
        <v>0.1744</v>
      </c>
      <c r="I13" s="192">
        <v>44440</v>
      </c>
      <c r="J13" s="192">
        <v>44440</v>
      </c>
      <c r="K13" s="192">
        <v>44201</v>
      </c>
      <c r="L13" s="193" t="s">
        <v>330</v>
      </c>
      <c r="M13" s="81">
        <v>47012.32</v>
      </c>
      <c r="N13" s="69"/>
      <c r="O13" s="69">
        <f t="shared" si="4"/>
        <v>47012.32</v>
      </c>
      <c r="P13" s="68"/>
      <c r="Q13" s="69">
        <v>47012.32</v>
      </c>
      <c r="R13" s="69"/>
      <c r="S13" s="70">
        <f t="shared" si="5"/>
        <v>47012.32</v>
      </c>
    </row>
    <row r="14" spans="1:20" ht="18.75" customHeight="1" x14ac:dyDescent="0.25">
      <c r="C14" s="243"/>
      <c r="D14" s="95"/>
      <c r="G14" s="191"/>
      <c r="H14" s="191"/>
      <c r="I14" s="192"/>
      <c r="J14" s="192"/>
      <c r="K14" s="192"/>
      <c r="L14" s="193"/>
      <c r="M14" s="25"/>
      <c r="N14" s="25"/>
      <c r="O14" s="25"/>
      <c r="P14" s="29"/>
      <c r="Q14" s="25"/>
      <c r="R14" s="25"/>
      <c r="S14" s="26"/>
    </row>
    <row r="15" spans="1:20" ht="23.25" customHeight="1" x14ac:dyDescent="0.25">
      <c r="C15" s="94"/>
      <c r="D15" s="94"/>
      <c r="G15" s="207"/>
      <c r="H15" s="191"/>
      <c r="I15" s="192"/>
      <c r="J15" s="192"/>
      <c r="K15" s="192"/>
      <c r="L15" s="210" t="s">
        <v>38</v>
      </c>
      <c r="M15" s="68">
        <f>SUM(M7:M14)</f>
        <v>493322.22</v>
      </c>
      <c r="N15" s="68">
        <f>SUM(N7:N14)</f>
        <v>0</v>
      </c>
      <c r="O15" s="68">
        <f>SUM(O7:O14)</f>
        <v>493322.22</v>
      </c>
      <c r="Q15" s="68">
        <f>SUM(Q7:Q14)</f>
        <v>459833.75</v>
      </c>
      <c r="R15" s="68">
        <f>SUM(R7:R14)</f>
        <v>0</v>
      </c>
      <c r="S15" s="23">
        <f>SUM(S7:S14)</f>
        <v>459833.75</v>
      </c>
    </row>
    <row r="16" spans="1:20" x14ac:dyDescent="0.25">
      <c r="C16" s="94"/>
      <c r="D16" s="94"/>
      <c r="I16" s="119"/>
      <c r="J16" s="119"/>
      <c r="K16" s="119"/>
      <c r="L16" s="5"/>
      <c r="M16" s="68"/>
      <c r="N16" s="68"/>
      <c r="O16" s="68"/>
      <c r="Q16" s="68"/>
      <c r="R16" s="68"/>
      <c r="S16" s="70"/>
    </row>
    <row r="17" spans="2:19" x14ac:dyDescent="0.25">
      <c r="C17" s="94"/>
      <c r="D17" s="94"/>
      <c r="I17" s="119"/>
      <c r="J17" s="119"/>
      <c r="K17" s="119"/>
      <c r="L17" s="5"/>
      <c r="M17" s="68"/>
      <c r="N17" s="68"/>
      <c r="O17" s="68"/>
      <c r="Q17" s="68"/>
      <c r="R17" s="68"/>
      <c r="S17" s="70"/>
    </row>
    <row r="18" spans="2:19" x14ac:dyDescent="0.25">
      <c r="C18" s="94"/>
      <c r="D18" s="94"/>
      <c r="I18" s="119"/>
      <c r="J18" s="119"/>
      <c r="K18" s="119"/>
      <c r="L18" s="5"/>
      <c r="M18" s="68"/>
      <c r="N18" s="68"/>
      <c r="O18" s="68"/>
      <c r="Q18" s="68"/>
      <c r="R18" s="68"/>
      <c r="S18" s="70"/>
    </row>
    <row r="19" spans="2:19" x14ac:dyDescent="0.25">
      <c r="B19" s="8" t="s">
        <v>125</v>
      </c>
      <c r="C19" s="94"/>
      <c r="D19" s="94"/>
      <c r="L19" s="5"/>
      <c r="M19" s="68"/>
      <c r="N19" s="68"/>
      <c r="O19" s="68"/>
      <c r="Q19" s="68"/>
      <c r="R19" s="68"/>
      <c r="S19" s="70"/>
    </row>
    <row r="20" spans="2:19" ht="32.25" customHeight="1" x14ac:dyDescent="0.25">
      <c r="B20" s="338" t="s">
        <v>126</v>
      </c>
      <c r="C20" s="338"/>
      <c r="D20" s="338"/>
      <c r="E20" s="338"/>
      <c r="F20" s="338"/>
      <c r="G20" s="120"/>
      <c r="H20" s="120"/>
      <c r="I20" s="114"/>
      <c r="L20" s="5"/>
      <c r="M20" s="68"/>
      <c r="N20" s="68"/>
      <c r="O20" s="68"/>
      <c r="Q20" s="68"/>
      <c r="R20" s="68"/>
      <c r="S20" s="70"/>
    </row>
    <row r="21" spans="2:19" x14ac:dyDescent="0.25">
      <c r="C21" s="94"/>
      <c r="D21" s="94"/>
      <c r="L21" s="5"/>
      <c r="M21" s="68"/>
      <c r="N21" s="68"/>
      <c r="O21" s="68"/>
      <c r="Q21" s="68"/>
      <c r="R21" s="68"/>
      <c r="S21" s="70"/>
    </row>
    <row r="22" spans="2:19" ht="49.5" customHeight="1" x14ac:dyDescent="0.25">
      <c r="B22" s="338" t="s">
        <v>129</v>
      </c>
      <c r="C22" s="338"/>
      <c r="D22" s="338"/>
      <c r="E22" s="338"/>
      <c r="F22" s="338"/>
      <c r="G22" s="120"/>
      <c r="H22" s="120"/>
      <c r="I22" s="114"/>
      <c r="L22" s="5"/>
      <c r="M22" s="68"/>
      <c r="N22" s="68"/>
      <c r="O22" s="68"/>
      <c r="Q22" s="68"/>
      <c r="R22" s="68"/>
      <c r="S22" s="70"/>
    </row>
    <row r="23" spans="2:19" x14ac:dyDescent="0.25">
      <c r="B23" s="111"/>
      <c r="C23" s="111"/>
      <c r="D23" s="111"/>
      <c r="E23" s="111"/>
      <c r="F23" s="111"/>
      <c r="G23" s="120"/>
      <c r="H23" s="120"/>
      <c r="I23" s="114"/>
      <c r="L23" s="5"/>
      <c r="M23" s="68"/>
      <c r="N23" s="68"/>
      <c r="O23" s="68"/>
      <c r="Q23" s="68"/>
      <c r="R23" s="68"/>
      <c r="S23" s="70"/>
    </row>
    <row r="24" spans="2:19" ht="30" customHeight="1" x14ac:dyDescent="0.25">
      <c r="B24" s="338" t="s">
        <v>160</v>
      </c>
      <c r="C24" s="338"/>
      <c r="D24" s="338"/>
      <c r="E24" s="338"/>
      <c r="F24" s="338"/>
      <c r="G24" s="198"/>
      <c r="H24" s="198"/>
      <c r="I24" s="198"/>
      <c r="L24" s="5"/>
      <c r="M24" s="68"/>
      <c r="N24" s="68"/>
      <c r="O24" s="68"/>
      <c r="Q24" s="68"/>
      <c r="R24" s="68"/>
      <c r="S24" s="70"/>
    </row>
    <row r="25" spans="2:19" ht="15" customHeight="1" x14ac:dyDescent="0.25">
      <c r="B25" s="346" t="s">
        <v>159</v>
      </c>
      <c r="C25" s="338"/>
      <c r="D25" s="338"/>
      <c r="E25" s="338"/>
      <c r="F25" s="338"/>
      <c r="G25" s="198"/>
      <c r="H25" s="198"/>
      <c r="I25" s="198"/>
      <c r="L25" s="5"/>
      <c r="M25" s="68"/>
      <c r="N25" s="68"/>
      <c r="O25" s="68"/>
      <c r="Q25" s="68"/>
      <c r="R25" s="68"/>
      <c r="S25" s="70"/>
    </row>
    <row r="26" spans="2:19" ht="15" customHeight="1" x14ac:dyDescent="0.25">
      <c r="B26" s="200"/>
      <c r="C26" s="200"/>
      <c r="D26" s="200"/>
      <c r="E26" s="200"/>
      <c r="F26" s="200"/>
      <c r="G26" s="200"/>
      <c r="H26" s="200"/>
      <c r="I26" s="200"/>
      <c r="L26" s="5"/>
      <c r="M26" s="68"/>
      <c r="N26" s="68"/>
      <c r="O26" s="68"/>
      <c r="Q26" s="68"/>
      <c r="R26" s="68"/>
      <c r="S26" s="70"/>
    </row>
    <row r="27" spans="2:19" x14ac:dyDescent="0.25">
      <c r="B27" s="7" t="s">
        <v>109</v>
      </c>
      <c r="C27" s="104" t="s">
        <v>112</v>
      </c>
      <c r="D27" s="104" t="s">
        <v>113</v>
      </c>
      <c r="E27" s="111"/>
      <c r="F27" s="111"/>
      <c r="G27" s="120"/>
      <c r="H27" s="120"/>
      <c r="I27" s="114"/>
      <c r="L27" s="5"/>
      <c r="M27" s="68"/>
      <c r="N27" s="68"/>
      <c r="O27" s="68"/>
      <c r="Q27" s="68"/>
      <c r="R27" s="68"/>
      <c r="S27" s="70"/>
    </row>
    <row r="28" spans="2:19" x14ac:dyDescent="0.25">
      <c r="B28" s="2" t="s">
        <v>111</v>
      </c>
      <c r="C28" s="94" t="s">
        <v>114</v>
      </c>
      <c r="D28" s="94" t="s">
        <v>119</v>
      </c>
      <c r="L28" s="5"/>
      <c r="M28" s="68"/>
      <c r="N28" s="68"/>
      <c r="O28" s="68"/>
      <c r="Q28" s="68"/>
      <c r="R28" s="68"/>
      <c r="S28" s="70"/>
    </row>
    <row r="29" spans="2:19" x14ac:dyDescent="0.25">
      <c r="B29" s="2" t="s">
        <v>252</v>
      </c>
      <c r="C29" s="94" t="s">
        <v>135</v>
      </c>
      <c r="D29" s="94" t="s">
        <v>147</v>
      </c>
      <c r="L29" s="5"/>
      <c r="M29" s="68"/>
      <c r="N29" s="68"/>
      <c r="O29" s="68"/>
      <c r="Q29" s="68"/>
      <c r="R29" s="68"/>
      <c r="S29" s="70"/>
    </row>
    <row r="30" spans="2:19" x14ac:dyDescent="0.25">
      <c r="B30" s="2" t="s">
        <v>260</v>
      </c>
      <c r="C30" s="94" t="s">
        <v>135</v>
      </c>
      <c r="D30" s="94" t="s">
        <v>147</v>
      </c>
      <c r="L30" s="5"/>
      <c r="M30" s="68"/>
      <c r="N30" s="68"/>
      <c r="O30" s="68"/>
      <c r="Q30" s="68"/>
      <c r="R30" s="68"/>
      <c r="S30" s="70"/>
    </row>
    <row r="31" spans="2:19" x14ac:dyDescent="0.25">
      <c r="B31" s="2" t="s">
        <v>318</v>
      </c>
      <c r="C31" s="94" t="s">
        <v>135</v>
      </c>
      <c r="D31" s="94" t="s">
        <v>147</v>
      </c>
      <c r="L31" s="5"/>
      <c r="M31" s="68"/>
      <c r="N31" s="68"/>
      <c r="O31" s="68"/>
      <c r="Q31" s="68"/>
      <c r="R31" s="68"/>
      <c r="S31" s="70"/>
    </row>
    <row r="32" spans="2:19" x14ac:dyDescent="0.25">
      <c r="B32" s="2" t="s">
        <v>321</v>
      </c>
      <c r="C32" s="94" t="s">
        <v>135</v>
      </c>
      <c r="D32" s="94" t="s">
        <v>147</v>
      </c>
      <c r="L32" s="5"/>
      <c r="M32" s="68"/>
      <c r="N32" s="68"/>
      <c r="O32" s="68"/>
      <c r="Q32" s="68"/>
      <c r="R32" s="68"/>
      <c r="S32" s="70"/>
    </row>
    <row r="33" spans="2:20" x14ac:dyDescent="0.25">
      <c r="B33" s="2" t="s">
        <v>326</v>
      </c>
      <c r="C33" s="94" t="s">
        <v>135</v>
      </c>
      <c r="D33" s="94" t="s">
        <v>147</v>
      </c>
      <c r="L33" s="5"/>
      <c r="M33" s="68"/>
      <c r="N33" s="68"/>
      <c r="O33" s="68"/>
      <c r="Q33" s="68"/>
      <c r="R33" s="68"/>
      <c r="S33" s="70"/>
    </row>
    <row r="34" spans="2:20" x14ac:dyDescent="0.25">
      <c r="C34" s="94"/>
      <c r="D34" s="94"/>
      <c r="L34" s="5"/>
      <c r="M34" s="68"/>
      <c r="N34" s="68"/>
      <c r="O34" s="68"/>
      <c r="Q34" s="68"/>
      <c r="R34" s="68"/>
      <c r="S34" s="70"/>
    </row>
    <row r="35" spans="2:20" x14ac:dyDescent="0.25">
      <c r="B35" s="269" t="s">
        <v>235</v>
      </c>
      <c r="C35" s="94"/>
      <c r="D35" s="94"/>
      <c r="L35" s="5"/>
      <c r="M35" s="68"/>
      <c r="N35" s="68"/>
      <c r="O35" s="68"/>
      <c r="Q35" s="68"/>
      <c r="R35" s="68"/>
      <c r="S35" s="70"/>
    </row>
    <row r="36" spans="2:20" x14ac:dyDescent="0.25">
      <c r="B36" s="333" t="s">
        <v>236</v>
      </c>
      <c r="C36" s="333"/>
      <c r="D36" s="333"/>
      <c r="E36" s="333"/>
      <c r="F36" s="333"/>
      <c r="G36" s="333"/>
      <c r="H36" s="333"/>
      <c r="L36" s="5"/>
      <c r="M36" s="68"/>
      <c r="N36" s="68"/>
      <c r="O36" s="68"/>
      <c r="Q36" s="68"/>
      <c r="R36" s="68"/>
      <c r="S36" s="70"/>
    </row>
    <row r="37" spans="2:20" ht="15" customHeight="1" x14ac:dyDescent="0.25">
      <c r="B37" s="10"/>
      <c r="C37" s="10"/>
      <c r="D37" s="10"/>
      <c r="E37" s="10"/>
      <c r="F37" s="10"/>
      <c r="G37" s="10"/>
      <c r="H37" s="10"/>
      <c r="I37" s="10"/>
      <c r="J37" s="10"/>
      <c r="K37" s="10"/>
      <c r="L37" s="10"/>
      <c r="M37" s="10"/>
      <c r="N37" s="29"/>
      <c r="O37" s="29"/>
      <c r="P37" s="29"/>
      <c r="Q37" s="29"/>
      <c r="R37" s="29"/>
      <c r="S37" s="27"/>
    </row>
    <row r="38" spans="2:20" ht="15" customHeight="1" x14ac:dyDescent="0.25">
      <c r="N38" s="112"/>
      <c r="O38" s="112"/>
      <c r="P38" s="112"/>
      <c r="Q38" s="175" t="s">
        <v>90</v>
      </c>
      <c r="R38" s="176"/>
      <c r="S38" s="177"/>
    </row>
    <row r="39" spans="2:20" ht="15" customHeight="1" x14ac:dyDescent="0.25">
      <c r="B39" s="17" t="s">
        <v>39</v>
      </c>
      <c r="C39" s="98" t="s">
        <v>2</v>
      </c>
      <c r="D39" s="98"/>
      <c r="E39" s="98" t="s">
        <v>34</v>
      </c>
      <c r="F39" s="98" t="s">
        <v>35</v>
      </c>
      <c r="G39" s="123"/>
      <c r="H39" s="123"/>
      <c r="I39" s="117"/>
      <c r="J39" s="98"/>
      <c r="K39" s="98"/>
      <c r="L39" s="98" t="s">
        <v>36</v>
      </c>
      <c r="M39" s="98" t="s">
        <v>37</v>
      </c>
      <c r="N39" s="10"/>
      <c r="O39" s="10"/>
      <c r="P39" s="10"/>
      <c r="Q39" s="54" t="s">
        <v>88</v>
      </c>
      <c r="R39" s="54"/>
      <c r="S39" s="55"/>
    </row>
    <row r="40" spans="2:20" x14ac:dyDescent="0.25">
      <c r="B40" s="65"/>
      <c r="C40" s="9"/>
      <c r="D40" s="9"/>
      <c r="E40" s="9"/>
      <c r="F40" s="9"/>
      <c r="G40" s="9"/>
      <c r="H40" s="9"/>
      <c r="I40" s="9"/>
      <c r="J40" s="9"/>
      <c r="K40" s="9"/>
      <c r="L40" s="9"/>
      <c r="M40" s="9"/>
    </row>
    <row r="41" spans="2:20" x14ac:dyDescent="0.25">
      <c r="B41" s="65"/>
      <c r="C41" s="9"/>
      <c r="D41" s="9"/>
      <c r="E41" s="9"/>
      <c r="F41" s="9"/>
      <c r="G41" s="9"/>
      <c r="H41" s="9"/>
      <c r="I41" s="9"/>
      <c r="J41" s="9"/>
      <c r="K41" s="9"/>
      <c r="L41" s="9"/>
      <c r="M41" s="9"/>
      <c r="Q41" s="58"/>
      <c r="R41" s="51"/>
      <c r="S41" s="51"/>
    </row>
    <row r="42" spans="2:20" x14ac:dyDescent="0.25">
      <c r="B42" s="12"/>
      <c r="C42" s="13"/>
      <c r="D42" s="13"/>
      <c r="E42" s="41"/>
      <c r="F42" s="15"/>
      <c r="G42" s="15"/>
      <c r="H42" s="15"/>
      <c r="I42" s="15"/>
      <c r="J42" s="15"/>
      <c r="K42" s="15"/>
      <c r="L42" s="16"/>
      <c r="M42" s="20"/>
      <c r="N42" s="46"/>
      <c r="O42" s="46"/>
      <c r="P42" s="46"/>
      <c r="R42" s="51"/>
      <c r="S42" s="51"/>
      <c r="T42" s="51"/>
    </row>
    <row r="43" spans="2:20" ht="15" customHeight="1" x14ac:dyDescent="0.25">
      <c r="B43" s="12"/>
      <c r="C43" s="13"/>
      <c r="D43" s="13"/>
      <c r="E43" s="41"/>
      <c r="F43" s="15"/>
      <c r="G43" s="15"/>
      <c r="H43" s="15"/>
      <c r="I43" s="15"/>
      <c r="J43" s="15"/>
      <c r="K43" s="15"/>
      <c r="L43" s="16"/>
      <c r="M43" s="20"/>
      <c r="N43" s="18"/>
      <c r="O43" s="18"/>
      <c r="P43" s="18"/>
      <c r="Q43" s="51"/>
      <c r="R43" s="51"/>
      <c r="S43" s="51"/>
      <c r="T43" s="51"/>
    </row>
    <row r="44" spans="2:20" ht="15" customHeight="1" x14ac:dyDescent="0.25">
      <c r="B44" s="12"/>
      <c r="C44" s="13"/>
      <c r="D44" s="13"/>
      <c r="E44" s="41"/>
      <c r="F44" s="15"/>
      <c r="G44" s="15"/>
      <c r="H44" s="15"/>
      <c r="I44" s="15"/>
      <c r="J44" s="15"/>
      <c r="K44" s="15"/>
      <c r="L44" s="16"/>
      <c r="M44" s="20"/>
      <c r="N44" s="18"/>
      <c r="O44" s="18"/>
      <c r="P44" s="18"/>
      <c r="Q44" s="51"/>
      <c r="R44" s="51"/>
      <c r="S44" s="51"/>
      <c r="T44" s="51"/>
    </row>
    <row r="45" spans="2:20" ht="15" customHeight="1" x14ac:dyDescent="0.25">
      <c r="B45" s="12"/>
      <c r="C45" s="13"/>
      <c r="D45" s="13"/>
      <c r="E45" s="41"/>
      <c r="F45" s="15"/>
      <c r="G45" s="15"/>
      <c r="H45" s="15"/>
      <c r="I45" s="15"/>
      <c r="J45" s="15"/>
      <c r="K45" s="15"/>
      <c r="L45" s="16"/>
      <c r="M45" s="20"/>
      <c r="N45" s="18"/>
      <c r="O45" s="18"/>
      <c r="P45" s="18"/>
      <c r="Q45" s="51"/>
      <c r="R45" s="51"/>
      <c r="S45" s="51"/>
      <c r="T45" s="51"/>
    </row>
    <row r="46" spans="2:20" ht="15" customHeight="1" x14ac:dyDescent="0.25">
      <c r="B46" s="12"/>
      <c r="C46" s="13"/>
      <c r="D46" s="13"/>
      <c r="E46" s="41"/>
      <c r="F46" s="15"/>
      <c r="G46" s="15"/>
      <c r="H46" s="15"/>
      <c r="I46" s="15"/>
      <c r="J46" s="15"/>
      <c r="K46" s="15"/>
      <c r="L46" s="16"/>
      <c r="M46" s="20"/>
      <c r="N46" s="18"/>
      <c r="O46" s="18"/>
      <c r="P46" s="18"/>
      <c r="Q46" s="51"/>
      <c r="R46" s="51"/>
      <c r="S46" s="51"/>
      <c r="T46" s="51"/>
    </row>
    <row r="47" spans="2:20" x14ac:dyDescent="0.25">
      <c r="B47" s="36"/>
      <c r="C47" s="40"/>
      <c r="D47" s="40"/>
      <c r="E47" s="41"/>
      <c r="F47" s="38"/>
      <c r="G47" s="38"/>
      <c r="H47" s="38"/>
      <c r="I47" s="38"/>
      <c r="J47" s="38"/>
      <c r="K47" s="38"/>
      <c r="L47" s="39"/>
      <c r="M47" s="34"/>
      <c r="N47" s="107"/>
      <c r="O47" s="29"/>
      <c r="P47" s="29"/>
    </row>
    <row r="48" spans="2:20" x14ac:dyDescent="0.25">
      <c r="C48" s="40"/>
      <c r="D48" s="40"/>
      <c r="E48" s="41"/>
      <c r="F48" s="71"/>
      <c r="G48" s="71"/>
      <c r="H48" s="71"/>
      <c r="I48" s="71"/>
      <c r="J48" s="71"/>
      <c r="K48" s="71"/>
      <c r="L48" s="33"/>
      <c r="M48" s="31"/>
      <c r="N48" s="107"/>
    </row>
    <row r="49" spans="2:19" x14ac:dyDescent="0.25">
      <c r="C49" s="40"/>
      <c r="D49" s="40"/>
      <c r="E49" s="41"/>
      <c r="F49" s="71"/>
      <c r="G49" s="71"/>
      <c r="H49" s="71"/>
      <c r="I49" s="71"/>
      <c r="J49" s="71"/>
      <c r="K49" s="71"/>
      <c r="L49" s="33"/>
      <c r="M49" s="31"/>
      <c r="N49" s="108"/>
    </row>
    <row r="50" spans="2:19" x14ac:dyDescent="0.25">
      <c r="C50" s="40"/>
      <c r="D50" s="40"/>
      <c r="E50" s="41"/>
      <c r="F50" s="71"/>
      <c r="G50" s="71"/>
      <c r="H50" s="71"/>
      <c r="I50" s="71"/>
      <c r="J50" s="71"/>
      <c r="K50" s="71"/>
      <c r="L50" s="33"/>
      <c r="M50" s="35"/>
      <c r="N50" s="37"/>
      <c r="O50" s="37"/>
      <c r="P50" s="29"/>
      <c r="Q50" s="325" t="s">
        <v>343</v>
      </c>
      <c r="R50" s="325"/>
      <c r="S50" s="327">
        <f>S15</f>
        <v>459833.75</v>
      </c>
    </row>
    <row r="51" spans="2:19" ht="15" customHeight="1" x14ac:dyDescent="0.25">
      <c r="B51" s="36"/>
      <c r="C51" s="40"/>
      <c r="D51" s="40"/>
      <c r="E51" s="41"/>
      <c r="F51" s="38"/>
      <c r="G51" s="38"/>
      <c r="H51" s="38"/>
      <c r="I51" s="38"/>
      <c r="J51" s="38"/>
      <c r="K51" s="38"/>
      <c r="L51" s="33"/>
      <c r="M51" s="31"/>
      <c r="N51" s="101"/>
      <c r="O51" s="101"/>
      <c r="P51" s="29"/>
    </row>
    <row r="52" spans="2:19" x14ac:dyDescent="0.25">
      <c r="B52" s="36"/>
      <c r="C52" s="40"/>
      <c r="D52" s="40"/>
      <c r="E52" s="41"/>
      <c r="F52" s="38"/>
      <c r="G52" s="38"/>
      <c r="H52" s="38"/>
      <c r="I52" s="38"/>
      <c r="J52" s="38"/>
      <c r="K52" s="38"/>
      <c r="L52" s="33"/>
      <c r="M52" s="31"/>
      <c r="N52" s="101"/>
      <c r="O52" s="101"/>
      <c r="P52" s="29"/>
    </row>
    <row r="53" spans="2:19" x14ac:dyDescent="0.25">
      <c r="B53" s="36"/>
      <c r="C53" s="40"/>
      <c r="D53" s="40"/>
      <c r="E53" s="41"/>
      <c r="F53" s="38"/>
      <c r="G53" s="38"/>
      <c r="H53" s="38"/>
      <c r="I53" s="38"/>
      <c r="J53" s="38"/>
      <c r="K53" s="38"/>
      <c r="L53" s="33"/>
      <c r="M53" s="31"/>
      <c r="N53" s="101"/>
      <c r="O53" s="101"/>
      <c r="P53" s="29"/>
    </row>
    <row r="54" spans="2:19" ht="16.5" customHeight="1" x14ac:dyDescent="0.25">
      <c r="B54" s="36"/>
      <c r="C54" s="40"/>
      <c r="D54" s="40"/>
      <c r="E54" s="41"/>
      <c r="F54" s="38"/>
      <c r="G54" s="38"/>
      <c r="H54" s="38"/>
      <c r="I54" s="38"/>
      <c r="J54" s="38"/>
      <c r="K54" s="38"/>
      <c r="L54" s="39"/>
      <c r="M54" s="20"/>
      <c r="N54" s="101"/>
      <c r="O54" s="101"/>
      <c r="P54" s="29"/>
    </row>
    <row r="55" spans="2:19" ht="15" hidden="1" customHeight="1" x14ac:dyDescent="0.25"/>
    <row r="56" spans="2:19" ht="15" customHeight="1" x14ac:dyDescent="0.25">
      <c r="E56" s="21"/>
      <c r="F56" s="105"/>
      <c r="G56" s="105"/>
      <c r="H56" s="105"/>
      <c r="I56" s="105"/>
      <c r="J56" s="105"/>
      <c r="K56" s="105"/>
    </row>
    <row r="59" spans="2:19" ht="15" customHeight="1" x14ac:dyDescent="0.25"/>
  </sheetData>
  <mergeCells count="7">
    <mergeCell ref="B36:H36"/>
    <mergeCell ref="B25:F25"/>
    <mergeCell ref="Q2:S2"/>
    <mergeCell ref="Q1:S1"/>
    <mergeCell ref="B20:F20"/>
    <mergeCell ref="B22:F22"/>
    <mergeCell ref="B24:F24"/>
  </mergeCells>
  <hyperlinks>
    <hyperlink ref="B25" r:id="rId1"/>
  </hyperlinks>
  <printOptions horizontalCentered="1" gridLines="1"/>
  <pageMargins left="0" right="0" top="0.75" bottom="0.75" header="0.3" footer="0.3"/>
  <pageSetup scale="53" orientation="landscape" horizontalDpi="1200" verticalDpi="1200"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0"/>
  <sheetViews>
    <sheetView topLeftCell="G25" zoomScale="136" zoomScaleNormal="136" workbookViewId="0">
      <selection activeCell="S50" sqref="S50"/>
    </sheetView>
  </sheetViews>
  <sheetFormatPr defaultColWidth="9.140625" defaultRowHeight="15" x14ac:dyDescent="0.25"/>
  <cols>
    <col min="1" max="1" width="9.140625" style="2" hidden="1" customWidth="1"/>
    <col min="2" max="2" width="57.7109375" style="2" customWidth="1"/>
    <col min="3" max="3" width="30.85546875" style="2" customWidth="1"/>
    <col min="4" max="4" width="13.7109375" style="2" customWidth="1"/>
    <col min="5" max="5" width="18.140625" style="2" customWidth="1"/>
    <col min="6" max="6" width="22" style="2" customWidth="1"/>
    <col min="7" max="7" width="10.28515625" style="2" customWidth="1"/>
    <col min="8" max="8" width="12.85546875" style="2" customWidth="1"/>
    <col min="9" max="9" width="13.42578125" style="2" customWidth="1"/>
    <col min="10" max="10" width="15.7109375" style="2" customWidth="1"/>
    <col min="11" max="11" width="8.85546875" style="2" customWidth="1"/>
    <col min="12" max="12" width="17.285156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6.7109375" style="2" customWidth="1"/>
    <col min="20" max="16384" width="9.140625" style="2"/>
  </cols>
  <sheetData>
    <row r="1" spans="1:20" ht="18" customHeight="1" x14ac:dyDescent="0.25">
      <c r="A1" s="2" t="s">
        <v>342</v>
      </c>
      <c r="B1" s="1" t="s">
        <v>41</v>
      </c>
      <c r="Q1" s="335" t="s">
        <v>230</v>
      </c>
      <c r="R1" s="335"/>
      <c r="S1" s="335"/>
    </row>
    <row r="2" spans="1:20" ht="18.75" customHeight="1" x14ac:dyDescent="0.25">
      <c r="B2" s="90" t="s">
        <v>148</v>
      </c>
      <c r="C2" s="187">
        <v>44377</v>
      </c>
      <c r="M2" s="73"/>
      <c r="N2" s="73"/>
      <c r="P2" s="29"/>
      <c r="Q2" s="334" t="s">
        <v>338</v>
      </c>
      <c r="R2" s="334"/>
      <c r="S2" s="334"/>
    </row>
    <row r="3" spans="1:20" ht="18.75" customHeight="1" thickBot="1" x14ac:dyDescent="0.3">
      <c r="A3" s="2" t="s">
        <v>16</v>
      </c>
      <c r="B3" s="44" t="s">
        <v>58</v>
      </c>
      <c r="C3" s="8"/>
      <c r="D3" s="8"/>
      <c r="E3" s="8"/>
      <c r="P3" s="29"/>
      <c r="Q3" s="45"/>
      <c r="R3" s="30"/>
    </row>
    <row r="4" spans="1:20" ht="18.75" customHeight="1" x14ac:dyDescent="0.25">
      <c r="B4" s="8" t="s">
        <v>174</v>
      </c>
      <c r="M4" s="87" t="s">
        <v>28</v>
      </c>
      <c r="N4" s="87" t="s">
        <v>28</v>
      </c>
      <c r="O4" s="87" t="s">
        <v>28</v>
      </c>
      <c r="P4" s="9"/>
      <c r="Q4" s="91" t="s">
        <v>29</v>
      </c>
      <c r="R4" s="91" t="s">
        <v>31</v>
      </c>
      <c r="S4" s="91" t="s">
        <v>23</v>
      </c>
      <c r="T4" s="7"/>
    </row>
    <row r="5" spans="1:20" ht="15.75" thickBot="1" x14ac:dyDescent="0.3">
      <c r="G5" s="188" t="s">
        <v>231</v>
      </c>
      <c r="H5" s="188" t="s">
        <v>231</v>
      </c>
      <c r="M5" s="88" t="s">
        <v>27</v>
      </c>
      <c r="N5" s="88" t="s">
        <v>26</v>
      </c>
      <c r="O5" s="88" t="s">
        <v>25</v>
      </c>
      <c r="P5" s="9"/>
      <c r="Q5" s="92" t="s">
        <v>30</v>
      </c>
      <c r="R5" s="92" t="s">
        <v>30</v>
      </c>
      <c r="S5" s="92" t="s">
        <v>30</v>
      </c>
      <c r="T5" s="7"/>
    </row>
    <row r="6" spans="1:20" ht="85.5" customHeight="1" thickBot="1" x14ac:dyDescent="0.3">
      <c r="B6" s="86" t="s">
        <v>1</v>
      </c>
      <c r="C6" s="86" t="s">
        <v>127</v>
      </c>
      <c r="D6" s="86" t="s">
        <v>107</v>
      </c>
      <c r="E6" s="86" t="s">
        <v>3</v>
      </c>
      <c r="F6" s="86" t="s">
        <v>4</v>
      </c>
      <c r="G6" s="110" t="s">
        <v>136</v>
      </c>
      <c r="H6" s="110" t="s">
        <v>137</v>
      </c>
      <c r="I6" s="110" t="s">
        <v>133</v>
      </c>
      <c r="J6" s="110" t="s">
        <v>134</v>
      </c>
      <c r="K6" s="110" t="s">
        <v>121</v>
      </c>
      <c r="L6" s="85" t="s">
        <v>5</v>
      </c>
      <c r="M6" s="89" t="s">
        <v>6</v>
      </c>
      <c r="N6" s="89" t="s">
        <v>6</v>
      </c>
      <c r="O6" s="89" t="s">
        <v>6</v>
      </c>
      <c r="P6" s="9"/>
      <c r="Q6" s="93"/>
      <c r="R6" s="99" t="s">
        <v>32</v>
      </c>
      <c r="S6" s="100" t="s">
        <v>33</v>
      </c>
    </row>
    <row r="7" spans="1:20" ht="33.75" customHeight="1" x14ac:dyDescent="0.25">
      <c r="B7" s="2" t="s">
        <v>128</v>
      </c>
      <c r="C7" s="232" t="s">
        <v>122</v>
      </c>
      <c r="D7" s="95" t="s">
        <v>248</v>
      </c>
      <c r="E7" s="2" t="s">
        <v>232</v>
      </c>
      <c r="F7" s="2" t="s">
        <v>7</v>
      </c>
      <c r="G7" s="191">
        <v>2.9600000000000001E-2</v>
      </c>
      <c r="H7" s="191">
        <v>0.1744</v>
      </c>
      <c r="I7" s="192">
        <v>44377</v>
      </c>
      <c r="J7" s="192">
        <v>44378</v>
      </c>
      <c r="K7" s="192">
        <v>44013</v>
      </c>
      <c r="L7" s="193" t="s">
        <v>234</v>
      </c>
      <c r="M7" s="69">
        <v>12984.63</v>
      </c>
      <c r="N7" s="69">
        <f>19020.63+14443.39+13391.75+0.02+14714.78+13542.14+11557.82</f>
        <v>86670.53</v>
      </c>
      <c r="O7" s="69">
        <f>M7+N7</f>
        <v>99655.16</v>
      </c>
      <c r="P7" s="29"/>
      <c r="Q7" s="69">
        <f>12984.63+19020.63+14443.39+13391.75+14714.78+13542.14+11557.82</f>
        <v>99655.140000000014</v>
      </c>
      <c r="R7" s="69"/>
      <c r="S7" s="70">
        <f>Q7+R7</f>
        <v>99655.140000000014</v>
      </c>
    </row>
    <row r="8" spans="1:20" ht="33.75" customHeight="1" x14ac:dyDescent="0.25">
      <c r="B8" s="2" t="s">
        <v>241</v>
      </c>
      <c r="C8" s="243" t="s">
        <v>242</v>
      </c>
      <c r="D8" s="95" t="s">
        <v>243</v>
      </c>
      <c r="E8" s="2" t="s">
        <v>244</v>
      </c>
      <c r="F8" s="2" t="s">
        <v>7</v>
      </c>
      <c r="G8" s="191">
        <f t="shared" ref="G8:H9" si="0">+G7</f>
        <v>2.9600000000000001E-2</v>
      </c>
      <c r="H8" s="191">
        <f t="shared" si="0"/>
        <v>0.1744</v>
      </c>
      <c r="I8" s="192">
        <v>44834</v>
      </c>
      <c r="J8" s="192">
        <v>44849</v>
      </c>
      <c r="K8" s="192">
        <v>43614</v>
      </c>
      <c r="L8" s="193" t="s">
        <v>311</v>
      </c>
      <c r="M8" s="69">
        <v>13268.82</v>
      </c>
      <c r="N8" s="69"/>
      <c r="O8" s="69">
        <f>M8+N8</f>
        <v>13268.82</v>
      </c>
      <c r="P8" s="29"/>
      <c r="Q8" s="69"/>
      <c r="R8" s="69"/>
      <c r="S8" s="70">
        <f>Q8+R8</f>
        <v>0</v>
      </c>
    </row>
    <row r="9" spans="1:20" ht="29.25" customHeight="1" x14ac:dyDescent="0.25">
      <c r="B9" s="2" t="s">
        <v>283</v>
      </c>
      <c r="C9" s="243" t="s">
        <v>264</v>
      </c>
      <c r="D9" s="95" t="s">
        <v>254</v>
      </c>
      <c r="E9" s="2" t="s">
        <v>284</v>
      </c>
      <c r="F9" s="2" t="s">
        <v>7</v>
      </c>
      <c r="G9" s="191">
        <f t="shared" si="0"/>
        <v>2.9600000000000001E-2</v>
      </c>
      <c r="H9" s="191">
        <f t="shared" si="0"/>
        <v>0.1744</v>
      </c>
      <c r="I9" s="192">
        <v>44377</v>
      </c>
      <c r="J9" s="192">
        <v>44392</v>
      </c>
      <c r="K9" s="192">
        <v>43613</v>
      </c>
      <c r="L9" s="193" t="s">
        <v>234</v>
      </c>
      <c r="M9" s="81">
        <v>7302.48</v>
      </c>
      <c r="N9" s="69"/>
      <c r="O9" s="69">
        <f>M9+N9</f>
        <v>7302.48</v>
      </c>
      <c r="P9" s="69"/>
      <c r="Q9" s="69"/>
      <c r="R9" s="69"/>
      <c r="S9" s="70">
        <f>Q9+R9</f>
        <v>0</v>
      </c>
    </row>
    <row r="10" spans="1:20" ht="29.25" customHeight="1" x14ac:dyDescent="0.25">
      <c r="B10" s="2" t="s">
        <v>268</v>
      </c>
      <c r="C10" s="243" t="s">
        <v>269</v>
      </c>
      <c r="D10" s="95" t="s">
        <v>164</v>
      </c>
      <c r="E10" s="2" t="s">
        <v>287</v>
      </c>
      <c r="F10" s="2" t="s">
        <v>7</v>
      </c>
      <c r="G10" s="191">
        <f>+G8</f>
        <v>2.9600000000000001E-2</v>
      </c>
      <c r="H10" s="191">
        <f>+H8</f>
        <v>0.1744</v>
      </c>
      <c r="I10" s="192">
        <v>44393</v>
      </c>
      <c r="J10" s="192">
        <v>44408</v>
      </c>
      <c r="K10" s="192">
        <v>42644</v>
      </c>
      <c r="L10" s="193" t="s">
        <v>310</v>
      </c>
      <c r="M10" s="81">
        <v>49000</v>
      </c>
      <c r="N10" s="69"/>
      <c r="O10" s="69">
        <f>M10+N10</f>
        <v>49000</v>
      </c>
      <c r="P10" s="69"/>
      <c r="Q10" s="69">
        <f>14159.52+33716.76</f>
        <v>47876.28</v>
      </c>
      <c r="R10" s="69"/>
      <c r="S10" s="70">
        <f>Q10+R10</f>
        <v>47876.28</v>
      </c>
    </row>
    <row r="11" spans="1:20" ht="29.25" customHeight="1" x14ac:dyDescent="0.25">
      <c r="B11" s="2" t="s">
        <v>318</v>
      </c>
      <c r="C11" s="243" t="s">
        <v>242</v>
      </c>
      <c r="D11" s="95" t="s">
        <v>243</v>
      </c>
      <c r="E11" s="2" t="s">
        <v>319</v>
      </c>
      <c r="F11" s="2" t="s">
        <v>7</v>
      </c>
      <c r="G11" s="191">
        <v>2.9600000000000001E-2</v>
      </c>
      <c r="H11" s="191">
        <v>0.1744</v>
      </c>
      <c r="I11" s="192">
        <v>44561</v>
      </c>
      <c r="J11" s="192">
        <v>44576</v>
      </c>
      <c r="K11" s="192">
        <v>43980</v>
      </c>
      <c r="L11" s="193" t="s">
        <v>320</v>
      </c>
      <c r="M11" s="81">
        <v>3000</v>
      </c>
      <c r="N11" s="69"/>
      <c r="O11" s="69">
        <f t="shared" ref="O11:O13" si="1">M11+N11</f>
        <v>3000</v>
      </c>
      <c r="P11" s="68"/>
      <c r="Q11" s="69"/>
      <c r="R11" s="69"/>
      <c r="S11" s="70">
        <f t="shared" ref="S11:S13" si="2">Q11+R11</f>
        <v>0</v>
      </c>
    </row>
    <row r="12" spans="1:20" ht="29.25" customHeight="1" x14ac:dyDescent="0.25">
      <c r="B12" s="2" t="s">
        <v>321</v>
      </c>
      <c r="C12" s="243" t="s">
        <v>264</v>
      </c>
      <c r="D12" s="95" t="s">
        <v>254</v>
      </c>
      <c r="E12" s="2" t="s">
        <v>322</v>
      </c>
      <c r="F12" s="2" t="s">
        <v>7</v>
      </c>
      <c r="G12" s="191">
        <v>2.9600000000000001E-2</v>
      </c>
      <c r="H12" s="191">
        <v>0.1744</v>
      </c>
      <c r="I12" s="192">
        <v>44742</v>
      </c>
      <c r="J12" s="192">
        <v>44757</v>
      </c>
      <c r="K12" s="192">
        <v>43979</v>
      </c>
      <c r="L12" s="193" t="s">
        <v>323</v>
      </c>
      <c r="M12" s="81">
        <v>1027</v>
      </c>
      <c r="N12" s="69"/>
      <c r="O12" s="69">
        <f t="shared" si="1"/>
        <v>1027</v>
      </c>
      <c r="P12" s="68"/>
      <c r="Q12" s="69"/>
      <c r="R12" s="69"/>
      <c r="S12" s="70">
        <f t="shared" si="2"/>
        <v>0</v>
      </c>
    </row>
    <row r="13" spans="1:20" ht="29.25" customHeight="1" x14ac:dyDescent="0.25">
      <c r="B13" s="2" t="s">
        <v>327</v>
      </c>
      <c r="C13" s="243" t="s">
        <v>242</v>
      </c>
      <c r="D13" s="95" t="s">
        <v>328</v>
      </c>
      <c r="E13" s="2" t="s">
        <v>329</v>
      </c>
      <c r="F13" s="2" t="s">
        <v>7</v>
      </c>
      <c r="G13" s="191">
        <v>2.9600000000000001E-2</v>
      </c>
      <c r="H13" s="191">
        <v>0.1744</v>
      </c>
      <c r="I13" s="192">
        <v>44440</v>
      </c>
      <c r="J13" s="192">
        <v>44440</v>
      </c>
      <c r="K13" s="192">
        <v>44201</v>
      </c>
      <c r="L13" s="193" t="s">
        <v>330</v>
      </c>
      <c r="M13" s="81">
        <v>26393.17</v>
      </c>
      <c r="N13" s="69"/>
      <c r="O13" s="69">
        <f t="shared" si="1"/>
        <v>26393.17</v>
      </c>
      <c r="P13" s="68"/>
      <c r="Q13" s="69"/>
      <c r="R13" s="69"/>
      <c r="S13" s="70">
        <f t="shared" si="2"/>
        <v>0</v>
      </c>
    </row>
    <row r="14" spans="1:20" x14ac:dyDescent="0.25">
      <c r="C14" s="95"/>
      <c r="D14" s="95"/>
      <c r="G14" s="191"/>
      <c r="H14" s="191" t="s">
        <v>100</v>
      </c>
      <c r="I14" s="192"/>
      <c r="J14" s="192"/>
      <c r="K14" s="192"/>
      <c r="L14" s="193"/>
      <c r="M14" s="25"/>
      <c r="N14" s="25"/>
      <c r="O14" s="25"/>
      <c r="P14" s="29"/>
      <c r="Q14" s="25"/>
      <c r="R14" s="25"/>
      <c r="S14" s="26"/>
    </row>
    <row r="15" spans="1:20" ht="21.75" customHeight="1" x14ac:dyDescent="0.25">
      <c r="C15" s="94"/>
      <c r="D15" s="94"/>
      <c r="G15" s="207"/>
      <c r="H15" s="191" t="s">
        <v>100</v>
      </c>
      <c r="I15" s="192"/>
      <c r="J15" s="192"/>
      <c r="K15" s="192"/>
      <c r="L15" s="210" t="s">
        <v>38</v>
      </c>
      <c r="M15" s="68">
        <f>SUM(M7:M14)</f>
        <v>112976.09999999999</v>
      </c>
      <c r="N15" s="68">
        <f>SUM(N7:N14)</f>
        <v>86670.53</v>
      </c>
      <c r="O15" s="68">
        <f>SUM(O7:O14)</f>
        <v>199646.63</v>
      </c>
      <c r="Q15" s="68">
        <f>SUM(Q7:Q14)</f>
        <v>147531.42000000001</v>
      </c>
      <c r="R15" s="68">
        <f>SUM(R7:R14)</f>
        <v>0</v>
      </c>
      <c r="S15" s="70">
        <f>SUM(S7:S14)</f>
        <v>147531.42000000001</v>
      </c>
    </row>
    <row r="16" spans="1:20" x14ac:dyDescent="0.25">
      <c r="C16" s="94"/>
      <c r="D16" s="94"/>
      <c r="I16" s="119"/>
      <c r="J16" s="119"/>
      <c r="K16" s="119"/>
      <c r="L16" s="5"/>
      <c r="M16" s="68"/>
      <c r="N16" s="68"/>
      <c r="O16" s="68"/>
      <c r="Q16" s="68"/>
      <c r="R16" s="68"/>
      <c r="S16" s="70"/>
    </row>
    <row r="17" spans="2:19" x14ac:dyDescent="0.25">
      <c r="C17" s="94"/>
      <c r="D17" s="94"/>
      <c r="I17" s="119"/>
      <c r="J17" s="119"/>
      <c r="K17" s="119"/>
      <c r="L17" s="5"/>
      <c r="M17" s="68"/>
      <c r="N17" s="68"/>
      <c r="O17" s="68"/>
      <c r="Q17" s="68"/>
      <c r="R17" s="68"/>
      <c r="S17" s="70"/>
    </row>
    <row r="18" spans="2:19" x14ac:dyDescent="0.25">
      <c r="C18" s="94"/>
      <c r="D18" s="94"/>
      <c r="I18" s="119"/>
      <c r="J18" s="119"/>
      <c r="K18" s="119"/>
      <c r="L18" s="5"/>
      <c r="M18" s="68"/>
      <c r="N18" s="68"/>
      <c r="O18" s="68"/>
      <c r="Q18" s="68"/>
      <c r="R18" s="68"/>
      <c r="S18" s="70"/>
    </row>
    <row r="19" spans="2:19" x14ac:dyDescent="0.25">
      <c r="B19" s="8" t="s">
        <v>125</v>
      </c>
      <c r="C19" s="94"/>
      <c r="D19" s="94"/>
      <c r="L19" s="5"/>
      <c r="M19" s="68"/>
      <c r="N19" s="68"/>
      <c r="O19" s="68"/>
      <c r="Q19" s="68"/>
      <c r="R19" s="68"/>
      <c r="S19" s="70"/>
    </row>
    <row r="20" spans="2:19" ht="32.25" customHeight="1" x14ac:dyDescent="0.25">
      <c r="B20" s="338" t="s">
        <v>126</v>
      </c>
      <c r="C20" s="338"/>
      <c r="D20" s="338"/>
      <c r="E20" s="338"/>
      <c r="F20" s="338"/>
      <c r="G20" s="120"/>
      <c r="H20" s="120"/>
      <c r="I20" s="114"/>
      <c r="L20" s="5"/>
      <c r="M20" s="68"/>
      <c r="N20" s="68"/>
      <c r="O20" s="68"/>
      <c r="Q20" s="68"/>
      <c r="R20" s="68"/>
      <c r="S20" s="70"/>
    </row>
    <row r="21" spans="2:19" x14ac:dyDescent="0.25">
      <c r="C21" s="94"/>
      <c r="D21" s="94"/>
      <c r="L21" s="5"/>
      <c r="M21" s="68"/>
      <c r="N21" s="68"/>
      <c r="O21" s="68"/>
      <c r="Q21" s="68"/>
      <c r="R21" s="68"/>
      <c r="S21" s="70"/>
    </row>
    <row r="22" spans="2:19" ht="47.25" customHeight="1" x14ac:dyDescent="0.25">
      <c r="B22" s="338" t="s">
        <v>129</v>
      </c>
      <c r="C22" s="338"/>
      <c r="D22" s="338"/>
      <c r="E22" s="338"/>
      <c r="F22" s="338"/>
      <c r="G22" s="120"/>
      <c r="H22" s="120"/>
      <c r="I22" s="114"/>
      <c r="L22" s="5"/>
      <c r="M22" s="68"/>
      <c r="N22" s="68"/>
      <c r="O22" s="68"/>
      <c r="Q22" s="68"/>
      <c r="R22" s="68"/>
      <c r="S22" s="70"/>
    </row>
    <row r="23" spans="2:19" x14ac:dyDescent="0.25">
      <c r="B23" s="111"/>
      <c r="C23" s="111"/>
      <c r="D23" s="111"/>
      <c r="E23" s="111"/>
      <c r="F23" s="111"/>
      <c r="G23" s="120"/>
      <c r="H23" s="120"/>
      <c r="I23" s="114"/>
      <c r="L23" s="5"/>
      <c r="M23" s="68"/>
      <c r="N23" s="68"/>
      <c r="O23" s="68"/>
      <c r="Q23" s="68"/>
      <c r="R23" s="68"/>
      <c r="S23" s="70"/>
    </row>
    <row r="24" spans="2:19" ht="28.5" customHeight="1" x14ac:dyDescent="0.25">
      <c r="B24" s="338" t="s">
        <v>160</v>
      </c>
      <c r="C24" s="338"/>
      <c r="D24" s="338"/>
      <c r="E24" s="338"/>
      <c r="F24" s="338"/>
      <c r="G24" s="198"/>
      <c r="H24" s="198"/>
      <c r="I24" s="198"/>
      <c r="L24" s="5"/>
      <c r="M24" s="68"/>
      <c r="N24" s="68"/>
      <c r="O24" s="68"/>
      <c r="Q24" s="68"/>
      <c r="R24" s="68"/>
      <c r="S24" s="70"/>
    </row>
    <row r="25" spans="2:19" ht="15" customHeight="1" x14ac:dyDescent="0.25">
      <c r="B25" s="346" t="s">
        <v>159</v>
      </c>
      <c r="C25" s="338"/>
      <c r="D25" s="338"/>
      <c r="E25" s="338"/>
      <c r="F25" s="338"/>
      <c r="G25" s="198"/>
      <c r="H25" s="198"/>
      <c r="I25" s="198"/>
      <c r="L25" s="5"/>
      <c r="M25" s="68"/>
      <c r="N25" s="68"/>
      <c r="O25" s="68"/>
      <c r="Q25" s="68"/>
      <c r="R25" s="68"/>
      <c r="S25" s="70"/>
    </row>
    <row r="26" spans="2:19" ht="15" customHeight="1" x14ac:dyDescent="0.25">
      <c r="B26" s="200"/>
      <c r="C26" s="200"/>
      <c r="D26" s="200"/>
      <c r="E26" s="200"/>
      <c r="F26" s="200"/>
      <c r="G26" s="200"/>
      <c r="H26" s="200"/>
      <c r="I26" s="200"/>
      <c r="L26" s="5"/>
      <c r="M26" s="68"/>
      <c r="N26" s="68"/>
      <c r="O26" s="68"/>
      <c r="Q26" s="68"/>
      <c r="R26" s="68"/>
      <c r="S26" s="70"/>
    </row>
    <row r="27" spans="2:19" x14ac:dyDescent="0.25">
      <c r="B27" s="7" t="s">
        <v>109</v>
      </c>
      <c r="C27" s="104" t="s">
        <v>112</v>
      </c>
      <c r="D27" s="104" t="s">
        <v>113</v>
      </c>
      <c r="E27" s="111"/>
      <c r="F27" s="111"/>
      <c r="G27" s="120"/>
      <c r="H27" s="120"/>
      <c r="I27" s="114"/>
      <c r="L27" s="5"/>
      <c r="M27" s="68"/>
      <c r="N27" s="68"/>
      <c r="O27" s="68"/>
      <c r="Q27" s="68"/>
      <c r="R27" s="68"/>
      <c r="S27" s="70"/>
    </row>
    <row r="28" spans="2:19" x14ac:dyDescent="0.25">
      <c r="B28" s="2" t="s">
        <v>111</v>
      </c>
      <c r="C28" s="94" t="s">
        <v>114</v>
      </c>
      <c r="D28" s="94" t="s">
        <v>119</v>
      </c>
      <c r="L28" s="5"/>
      <c r="M28" s="68"/>
      <c r="N28" s="68"/>
      <c r="O28" s="68"/>
      <c r="Q28" s="68"/>
      <c r="R28" s="68"/>
      <c r="S28" s="70"/>
    </row>
    <row r="29" spans="2:19" x14ac:dyDescent="0.25">
      <c r="B29" s="2" t="s">
        <v>252</v>
      </c>
      <c r="C29" s="94" t="s">
        <v>135</v>
      </c>
      <c r="D29" s="94" t="s">
        <v>147</v>
      </c>
      <c r="L29" s="5"/>
      <c r="M29" s="68"/>
      <c r="N29" s="68"/>
      <c r="O29" s="68"/>
      <c r="Q29" s="68"/>
      <c r="R29" s="68"/>
      <c r="S29" s="70"/>
    </row>
    <row r="30" spans="2:19" x14ac:dyDescent="0.25">
      <c r="B30" s="2" t="s">
        <v>260</v>
      </c>
      <c r="C30" s="94" t="s">
        <v>135</v>
      </c>
      <c r="D30" s="94" t="s">
        <v>147</v>
      </c>
      <c r="L30" s="5"/>
      <c r="M30" s="68"/>
      <c r="N30" s="68"/>
      <c r="O30" s="68"/>
      <c r="Q30" s="68"/>
      <c r="R30" s="68"/>
      <c r="S30" s="70"/>
    </row>
    <row r="31" spans="2:19" x14ac:dyDescent="0.25">
      <c r="B31" s="2" t="s">
        <v>267</v>
      </c>
      <c r="C31" s="94" t="s">
        <v>135</v>
      </c>
      <c r="D31" s="94" t="s">
        <v>147</v>
      </c>
      <c r="L31" s="5"/>
      <c r="M31" s="68"/>
      <c r="N31" s="68"/>
      <c r="O31" s="68"/>
      <c r="Q31" s="68"/>
      <c r="R31" s="68"/>
      <c r="S31" s="70"/>
    </row>
    <row r="32" spans="2:19" x14ac:dyDescent="0.25">
      <c r="B32" s="2" t="s">
        <v>318</v>
      </c>
      <c r="C32" s="94" t="s">
        <v>135</v>
      </c>
      <c r="D32" s="94" t="s">
        <v>147</v>
      </c>
      <c r="L32" s="5"/>
      <c r="M32" s="68"/>
      <c r="N32" s="68"/>
      <c r="O32" s="68"/>
      <c r="Q32" s="68"/>
      <c r="R32" s="68"/>
      <c r="S32" s="70"/>
    </row>
    <row r="33" spans="2:20" x14ac:dyDescent="0.25">
      <c r="B33" s="2" t="s">
        <v>321</v>
      </c>
      <c r="C33" s="94" t="s">
        <v>135</v>
      </c>
      <c r="D33" s="94" t="s">
        <v>147</v>
      </c>
      <c r="L33" s="5"/>
      <c r="M33" s="68"/>
      <c r="N33" s="68"/>
      <c r="O33" s="68"/>
      <c r="Q33" s="68"/>
      <c r="R33" s="68"/>
      <c r="S33" s="70"/>
    </row>
    <row r="34" spans="2:20" x14ac:dyDescent="0.25">
      <c r="B34" s="2" t="s">
        <v>326</v>
      </c>
      <c r="C34" s="94" t="s">
        <v>135</v>
      </c>
      <c r="D34" s="94" t="s">
        <v>147</v>
      </c>
      <c r="L34" s="5"/>
      <c r="M34" s="68"/>
      <c r="N34" s="68"/>
      <c r="O34" s="68"/>
      <c r="Q34" s="68"/>
      <c r="R34" s="68"/>
      <c r="S34" s="70"/>
    </row>
    <row r="35" spans="2:20" x14ac:dyDescent="0.25">
      <c r="C35" s="94"/>
      <c r="D35" s="94"/>
      <c r="L35" s="5"/>
      <c r="M35" s="68"/>
      <c r="N35" s="68"/>
      <c r="O35" s="68"/>
      <c r="Q35" s="68"/>
      <c r="R35" s="68"/>
      <c r="S35" s="70"/>
    </row>
    <row r="36" spans="2:20" x14ac:dyDescent="0.25">
      <c r="B36" s="269" t="s">
        <v>235</v>
      </c>
      <c r="C36" s="94"/>
      <c r="D36" s="94"/>
      <c r="L36" s="5"/>
      <c r="M36" s="68"/>
      <c r="N36" s="68"/>
      <c r="O36" s="68"/>
      <c r="Q36" s="68"/>
      <c r="R36" s="68"/>
      <c r="S36" s="70"/>
    </row>
    <row r="37" spans="2:20" x14ac:dyDescent="0.25">
      <c r="B37" s="333" t="s">
        <v>236</v>
      </c>
      <c r="C37" s="333"/>
      <c r="D37" s="333"/>
      <c r="E37" s="333"/>
      <c r="F37" s="333"/>
      <c r="G37" s="333"/>
      <c r="H37" s="333"/>
      <c r="L37" s="5"/>
      <c r="M37" s="68"/>
      <c r="N37" s="68"/>
      <c r="O37" s="68"/>
      <c r="Q37" s="68"/>
      <c r="R37" s="68"/>
      <c r="S37" s="70"/>
    </row>
    <row r="38" spans="2:20" ht="15" customHeight="1" x14ac:dyDescent="0.25">
      <c r="B38" s="10"/>
      <c r="C38" s="96"/>
      <c r="D38" s="96"/>
      <c r="E38" s="10"/>
      <c r="F38" s="10"/>
      <c r="G38" s="10"/>
      <c r="H38" s="10"/>
      <c r="I38" s="10"/>
      <c r="J38" s="10"/>
      <c r="K38" s="10"/>
      <c r="L38" s="10"/>
      <c r="M38" s="10"/>
      <c r="N38" s="29"/>
      <c r="O38" s="29"/>
      <c r="P38" s="29"/>
      <c r="Q38" s="29"/>
      <c r="R38" s="29"/>
      <c r="S38" s="27"/>
    </row>
    <row r="39" spans="2:20" ht="15" customHeight="1" x14ac:dyDescent="0.25">
      <c r="N39" s="112"/>
      <c r="O39" s="112"/>
      <c r="P39" s="112"/>
      <c r="Q39" s="175" t="s">
        <v>90</v>
      </c>
      <c r="R39" s="176"/>
      <c r="S39" s="177"/>
    </row>
    <row r="40" spans="2:20" ht="15" customHeight="1" x14ac:dyDescent="0.25">
      <c r="B40" s="17" t="s">
        <v>39</v>
      </c>
      <c r="C40" s="98" t="s">
        <v>2</v>
      </c>
      <c r="D40" s="98"/>
      <c r="E40" s="98" t="s">
        <v>34</v>
      </c>
      <c r="F40" s="98" t="s">
        <v>35</v>
      </c>
      <c r="G40" s="123"/>
      <c r="H40" s="123"/>
      <c r="I40" s="117"/>
      <c r="J40" s="98"/>
      <c r="K40" s="98"/>
      <c r="L40" s="98" t="s">
        <v>36</v>
      </c>
      <c r="M40" s="98" t="s">
        <v>37</v>
      </c>
      <c r="N40" s="10"/>
      <c r="O40" s="10"/>
      <c r="P40" s="10"/>
      <c r="Q40" s="54" t="s">
        <v>88</v>
      </c>
      <c r="R40" s="54"/>
      <c r="S40" s="55"/>
    </row>
    <row r="41" spans="2:20" x14ac:dyDescent="0.25">
      <c r="B41" s="65"/>
      <c r="C41" s="9"/>
      <c r="D41" s="9"/>
      <c r="E41" s="9"/>
      <c r="F41" s="9"/>
      <c r="G41" s="9"/>
      <c r="H41" s="9"/>
      <c r="I41" s="9"/>
      <c r="J41" s="9"/>
      <c r="K41" s="9"/>
      <c r="L41" s="9"/>
      <c r="M41" s="9"/>
    </row>
    <row r="42" spans="2:20" x14ac:dyDescent="0.25">
      <c r="B42" s="65"/>
      <c r="C42" s="9"/>
      <c r="D42" s="9"/>
      <c r="E42" s="9"/>
      <c r="F42" s="9"/>
      <c r="G42" s="9"/>
      <c r="H42" s="9"/>
      <c r="I42" s="9"/>
      <c r="J42" s="9"/>
      <c r="K42" s="9"/>
      <c r="L42" s="9"/>
      <c r="M42" s="9"/>
      <c r="Q42" s="58"/>
      <c r="R42" s="51"/>
      <c r="S42" s="51"/>
    </row>
    <row r="43" spans="2:20" x14ac:dyDescent="0.25">
      <c r="B43" s="12"/>
      <c r="C43" s="13"/>
      <c r="D43" s="13"/>
      <c r="E43" s="14"/>
      <c r="F43" s="15"/>
      <c r="G43" s="15"/>
      <c r="H43" s="15"/>
      <c r="I43" s="15"/>
      <c r="J43" s="15"/>
      <c r="K43" s="15"/>
      <c r="L43" s="16"/>
      <c r="M43" s="31"/>
      <c r="N43" s="45"/>
      <c r="O43" s="45"/>
      <c r="P43" s="45"/>
      <c r="R43" s="51"/>
      <c r="S43" s="51"/>
      <c r="T43" s="51"/>
    </row>
    <row r="44" spans="2:20" x14ac:dyDescent="0.25">
      <c r="B44" s="12"/>
      <c r="C44" s="13"/>
      <c r="D44" s="13"/>
      <c r="E44" s="14"/>
      <c r="F44" s="15"/>
      <c r="G44" s="15"/>
      <c r="H44" s="15"/>
      <c r="I44" s="15"/>
      <c r="J44" s="15"/>
      <c r="K44" s="15"/>
      <c r="L44" s="16"/>
      <c r="M44" s="31"/>
      <c r="N44" s="18"/>
      <c r="O44" s="18"/>
      <c r="P44" s="18"/>
      <c r="Q44" s="51"/>
      <c r="R44" s="51"/>
      <c r="S44" s="51"/>
      <c r="T44" s="51"/>
    </row>
    <row r="45" spans="2:20" x14ac:dyDescent="0.25">
      <c r="B45" s="12"/>
      <c r="C45" s="13"/>
      <c r="D45" s="13"/>
      <c r="E45" s="14"/>
      <c r="F45" s="15"/>
      <c r="G45" s="15"/>
      <c r="H45" s="15"/>
      <c r="I45" s="15"/>
      <c r="J45" s="15"/>
      <c r="K45" s="15"/>
      <c r="L45" s="16"/>
      <c r="M45" s="31"/>
      <c r="N45" s="18"/>
      <c r="O45" s="18"/>
      <c r="P45" s="18"/>
      <c r="Q45" s="51"/>
      <c r="R45" s="51"/>
      <c r="S45" s="51"/>
      <c r="T45" s="51"/>
    </row>
    <row r="46" spans="2:20" x14ac:dyDescent="0.25">
      <c r="B46" s="12"/>
      <c r="C46" s="13"/>
      <c r="D46" s="13"/>
      <c r="E46" s="14"/>
      <c r="F46" s="15"/>
      <c r="G46" s="15"/>
      <c r="H46" s="15"/>
      <c r="I46" s="15"/>
      <c r="J46" s="15"/>
      <c r="K46" s="15"/>
      <c r="L46" s="16"/>
      <c r="M46" s="31"/>
      <c r="N46" s="18"/>
      <c r="O46" s="18"/>
      <c r="P46" s="18"/>
      <c r="Q46" s="51"/>
      <c r="R46" s="51"/>
      <c r="S46" s="51"/>
      <c r="T46" s="51"/>
    </row>
    <row r="47" spans="2:20" x14ac:dyDescent="0.25">
      <c r="B47" s="12"/>
      <c r="C47" s="13"/>
      <c r="D47" s="13"/>
      <c r="E47" s="14"/>
      <c r="F47" s="15"/>
      <c r="G47" s="15"/>
      <c r="H47" s="15"/>
      <c r="I47" s="15"/>
      <c r="J47" s="15"/>
      <c r="K47" s="15"/>
      <c r="L47" s="16"/>
      <c r="M47" s="31"/>
      <c r="N47" s="18"/>
      <c r="O47" s="18"/>
      <c r="P47" s="18"/>
      <c r="Q47" s="51"/>
      <c r="R47" s="51"/>
      <c r="S47" s="51"/>
      <c r="T47" s="51"/>
    </row>
    <row r="50" spans="17:19" x14ac:dyDescent="0.25">
      <c r="Q50" s="325" t="s">
        <v>343</v>
      </c>
      <c r="R50" s="325"/>
      <c r="S50" s="327">
        <f>S15</f>
        <v>147531.42000000001</v>
      </c>
    </row>
  </sheetData>
  <mergeCells count="7">
    <mergeCell ref="B37:H37"/>
    <mergeCell ref="B25:F25"/>
    <mergeCell ref="Q2:S2"/>
    <mergeCell ref="Q1:S1"/>
    <mergeCell ref="B20:F20"/>
    <mergeCell ref="B22:F22"/>
    <mergeCell ref="B24:F24"/>
  </mergeCells>
  <hyperlinks>
    <hyperlink ref="B25" r:id="rId1"/>
  </hyperlinks>
  <printOptions horizontalCentered="1" gridLines="1"/>
  <pageMargins left="0" right="0" top="0.75" bottom="0.75" header="0.3" footer="0.3"/>
  <pageSetup scale="53" orientation="landscape" horizontalDpi="1200" verticalDpi="1200"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0"/>
  <sheetViews>
    <sheetView topLeftCell="C16" zoomScale="90" zoomScaleNormal="90" workbookViewId="0">
      <selection activeCell="S50" sqref="S50"/>
    </sheetView>
  </sheetViews>
  <sheetFormatPr defaultColWidth="9.140625" defaultRowHeight="15" x14ac:dyDescent="0.25"/>
  <cols>
    <col min="1" max="1" width="8" style="2" hidden="1" customWidth="1"/>
    <col min="2" max="2" width="58.140625" style="2" customWidth="1"/>
    <col min="3" max="3" width="30.85546875" style="2" customWidth="1"/>
    <col min="4" max="4" width="13.7109375" style="2" customWidth="1"/>
    <col min="5" max="5" width="17.28515625" style="2" customWidth="1"/>
    <col min="6" max="6" width="20.85546875" style="2" customWidth="1"/>
    <col min="7" max="7" width="10.28515625" style="2" customWidth="1"/>
    <col min="8" max="8" width="12.85546875" style="2" customWidth="1"/>
    <col min="9" max="9" width="13.42578125" style="2" customWidth="1"/>
    <col min="10" max="10" width="15.7109375" style="2" customWidth="1"/>
    <col min="11" max="11" width="8.85546875" style="2" customWidth="1"/>
    <col min="12" max="12" width="19.285156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6.7109375" style="2" customWidth="1"/>
    <col min="20" max="16384" width="9.140625" style="2"/>
  </cols>
  <sheetData>
    <row r="1" spans="1:20" ht="15.6" customHeight="1" x14ac:dyDescent="0.25">
      <c r="A1" s="2" t="s">
        <v>342</v>
      </c>
      <c r="B1" s="1" t="s">
        <v>15</v>
      </c>
      <c r="Q1" s="335" t="s">
        <v>230</v>
      </c>
      <c r="R1" s="335"/>
      <c r="S1" s="335"/>
    </row>
    <row r="2" spans="1:20" x14ac:dyDescent="0.25">
      <c r="B2" s="90" t="s">
        <v>148</v>
      </c>
      <c r="C2" s="187">
        <v>44377</v>
      </c>
      <c r="M2" s="73"/>
      <c r="N2" s="73"/>
      <c r="P2" s="29"/>
      <c r="Q2" s="334" t="s">
        <v>338</v>
      </c>
      <c r="R2" s="334"/>
      <c r="S2" s="334"/>
    </row>
    <row r="3" spans="1:20" ht="15.75" thickBot="1" x14ac:dyDescent="0.3">
      <c r="A3" s="2" t="s">
        <v>16</v>
      </c>
      <c r="B3" s="44" t="s">
        <v>59</v>
      </c>
      <c r="C3" s="8"/>
      <c r="D3" s="8"/>
      <c r="E3" s="8"/>
      <c r="P3" s="29"/>
      <c r="Q3" s="45"/>
      <c r="R3" s="30"/>
    </row>
    <row r="4" spans="1:20" x14ac:dyDescent="0.25">
      <c r="B4" s="8" t="s">
        <v>174</v>
      </c>
      <c r="M4" s="87" t="s">
        <v>28</v>
      </c>
      <c r="N4" s="87" t="s">
        <v>28</v>
      </c>
      <c r="O4" s="87" t="s">
        <v>28</v>
      </c>
      <c r="P4" s="9"/>
      <c r="Q4" s="91" t="s">
        <v>29</v>
      </c>
      <c r="R4" s="91" t="s">
        <v>31</v>
      </c>
      <c r="S4" s="91" t="s">
        <v>23</v>
      </c>
      <c r="T4" s="7"/>
    </row>
    <row r="5" spans="1:20" ht="15.75" thickBot="1" x14ac:dyDescent="0.3">
      <c r="G5" s="188" t="s">
        <v>231</v>
      </c>
      <c r="H5" s="188" t="s">
        <v>231</v>
      </c>
      <c r="M5" s="88" t="s">
        <v>27</v>
      </c>
      <c r="N5" s="88" t="s">
        <v>26</v>
      </c>
      <c r="O5" s="88" t="s">
        <v>25</v>
      </c>
      <c r="P5" s="9"/>
      <c r="Q5" s="92" t="s">
        <v>30</v>
      </c>
      <c r="R5" s="92" t="s">
        <v>30</v>
      </c>
      <c r="S5" s="92" t="s">
        <v>30</v>
      </c>
      <c r="T5" s="7"/>
    </row>
    <row r="6" spans="1:20" ht="85.5" customHeight="1" thickBot="1" x14ac:dyDescent="0.3">
      <c r="B6" s="86" t="s">
        <v>1</v>
      </c>
      <c r="C6" s="86" t="s">
        <v>127</v>
      </c>
      <c r="D6" s="86" t="s">
        <v>107</v>
      </c>
      <c r="E6" s="86" t="s">
        <v>3</v>
      </c>
      <c r="F6" s="86" t="s">
        <v>4</v>
      </c>
      <c r="G6" s="110" t="s">
        <v>136</v>
      </c>
      <c r="H6" s="110" t="s">
        <v>137</v>
      </c>
      <c r="I6" s="110" t="s">
        <v>133</v>
      </c>
      <c r="J6" s="110" t="s">
        <v>134</v>
      </c>
      <c r="K6" s="110" t="s">
        <v>121</v>
      </c>
      <c r="L6" s="85" t="s">
        <v>5</v>
      </c>
      <c r="M6" s="89" t="s">
        <v>6</v>
      </c>
      <c r="N6" s="89" t="s">
        <v>6</v>
      </c>
      <c r="O6" s="89" t="s">
        <v>6</v>
      </c>
      <c r="P6" s="9"/>
      <c r="Q6" s="93"/>
      <c r="R6" s="99" t="s">
        <v>32</v>
      </c>
      <c r="S6" s="100" t="s">
        <v>33</v>
      </c>
    </row>
    <row r="7" spans="1:20" ht="19.899999999999999" hidden="1" customHeight="1" x14ac:dyDescent="0.25">
      <c r="B7" s="2" t="s">
        <v>8</v>
      </c>
      <c r="C7" s="94" t="s">
        <v>182</v>
      </c>
      <c r="D7" s="94" t="s">
        <v>163</v>
      </c>
      <c r="E7" s="2" t="s">
        <v>232</v>
      </c>
      <c r="F7" s="2" t="s">
        <v>7</v>
      </c>
      <c r="G7" s="191">
        <v>2.9600000000000001E-2</v>
      </c>
      <c r="H7" s="191">
        <v>0.1744</v>
      </c>
      <c r="I7" s="192">
        <v>44377</v>
      </c>
      <c r="J7" s="192">
        <v>44378</v>
      </c>
      <c r="K7" s="192">
        <v>44013</v>
      </c>
      <c r="L7" s="193" t="s">
        <v>234</v>
      </c>
      <c r="M7" s="67"/>
      <c r="N7" s="69"/>
      <c r="O7" s="69">
        <f t="shared" ref="O7:O15" si="0">M7+N7</f>
        <v>0</v>
      </c>
      <c r="P7" s="69"/>
      <c r="Q7" s="69"/>
      <c r="R7" s="69"/>
      <c r="S7" s="70">
        <f t="shared" ref="S7:S15" si="1">Q7+R7</f>
        <v>0</v>
      </c>
    </row>
    <row r="8" spans="1:20" ht="30" hidden="1" x14ac:dyDescent="0.25">
      <c r="B8" s="29" t="s">
        <v>128</v>
      </c>
      <c r="C8" s="231" t="s">
        <v>183</v>
      </c>
      <c r="D8" s="94" t="s">
        <v>171</v>
      </c>
      <c r="E8" s="2" t="s">
        <v>233</v>
      </c>
      <c r="F8" s="2" t="s">
        <v>7</v>
      </c>
      <c r="G8" s="191">
        <v>2.7699999999999999E-2</v>
      </c>
      <c r="H8" s="191">
        <v>0.15060000000000001</v>
      </c>
      <c r="I8" s="192">
        <v>43646</v>
      </c>
      <c r="J8" s="192">
        <v>43647</v>
      </c>
      <c r="K8" s="192">
        <v>43282</v>
      </c>
      <c r="L8" s="193" t="s">
        <v>157</v>
      </c>
      <c r="M8" s="67"/>
      <c r="N8" s="69">
        <v>0</v>
      </c>
      <c r="O8" s="69">
        <f t="shared" si="0"/>
        <v>0</v>
      </c>
      <c r="P8" s="69"/>
      <c r="Q8" s="69"/>
      <c r="R8" s="69">
        <v>0</v>
      </c>
      <c r="S8" s="70">
        <f t="shared" si="1"/>
        <v>0</v>
      </c>
    </row>
    <row r="9" spans="1:20" ht="36.75" customHeight="1" x14ac:dyDescent="0.25">
      <c r="B9" s="2" t="s">
        <v>128</v>
      </c>
      <c r="C9" s="235" t="s">
        <v>122</v>
      </c>
      <c r="D9" s="95" t="s">
        <v>248</v>
      </c>
      <c r="E9" s="2" t="s">
        <v>233</v>
      </c>
      <c r="F9" s="2" t="s">
        <v>7</v>
      </c>
      <c r="G9" s="191">
        <v>2.9600000000000001E-2</v>
      </c>
      <c r="H9" s="191">
        <v>0.1744</v>
      </c>
      <c r="I9" s="192">
        <v>44377</v>
      </c>
      <c r="J9" s="192">
        <v>44378</v>
      </c>
      <c r="K9" s="192">
        <v>44013</v>
      </c>
      <c r="L9" s="193" t="s">
        <v>234</v>
      </c>
      <c r="M9" s="69"/>
      <c r="N9" s="69"/>
      <c r="O9" s="69">
        <f t="shared" si="0"/>
        <v>0</v>
      </c>
      <c r="P9" s="29"/>
      <c r="Q9" s="69"/>
      <c r="R9" s="69"/>
      <c r="S9" s="70">
        <f t="shared" si="1"/>
        <v>0</v>
      </c>
    </row>
    <row r="10" spans="1:20" ht="36.75" customHeight="1" x14ac:dyDescent="0.25">
      <c r="B10" s="2" t="s">
        <v>241</v>
      </c>
      <c r="C10" s="243" t="s">
        <v>242</v>
      </c>
      <c r="D10" s="95" t="s">
        <v>243</v>
      </c>
      <c r="E10" s="2" t="s">
        <v>244</v>
      </c>
      <c r="F10" s="2" t="s">
        <v>7</v>
      </c>
      <c r="G10" s="191">
        <f t="shared" ref="G10:H11" si="2">+G9</f>
        <v>2.9600000000000001E-2</v>
      </c>
      <c r="H10" s="191">
        <f t="shared" si="2"/>
        <v>0.1744</v>
      </c>
      <c r="I10" s="192">
        <v>44834</v>
      </c>
      <c r="J10" s="192">
        <v>44849</v>
      </c>
      <c r="K10" s="192">
        <v>43614</v>
      </c>
      <c r="L10" s="193" t="s">
        <v>311</v>
      </c>
      <c r="M10" s="69">
        <v>198754.99</v>
      </c>
      <c r="N10" s="69"/>
      <c r="O10" s="69">
        <f t="shared" si="0"/>
        <v>198754.99</v>
      </c>
      <c r="P10" s="29"/>
      <c r="Q10" s="69"/>
      <c r="R10" s="69"/>
      <c r="S10" s="70">
        <f t="shared" si="1"/>
        <v>0</v>
      </c>
    </row>
    <row r="11" spans="1:20" ht="29.25" customHeight="1" x14ac:dyDescent="0.25">
      <c r="B11" s="2" t="s">
        <v>283</v>
      </c>
      <c r="C11" s="243" t="s">
        <v>264</v>
      </c>
      <c r="D11" s="95" t="s">
        <v>254</v>
      </c>
      <c r="E11" s="2" t="s">
        <v>284</v>
      </c>
      <c r="F11" s="2" t="s">
        <v>7</v>
      </c>
      <c r="G11" s="191">
        <f t="shared" si="2"/>
        <v>2.9600000000000001E-2</v>
      </c>
      <c r="H11" s="191">
        <f t="shared" si="2"/>
        <v>0.1744</v>
      </c>
      <c r="I11" s="192">
        <v>44377</v>
      </c>
      <c r="J11" s="192">
        <v>44392</v>
      </c>
      <c r="K11" s="192">
        <v>43613</v>
      </c>
      <c r="L11" s="193" t="s">
        <v>234</v>
      </c>
      <c r="M11" s="81">
        <v>7302.48</v>
      </c>
      <c r="N11" s="69"/>
      <c r="O11" s="69">
        <f t="shared" si="0"/>
        <v>7302.48</v>
      </c>
      <c r="P11" s="69"/>
      <c r="Q11" s="69"/>
      <c r="R11" s="69"/>
      <c r="S11" s="70">
        <f t="shared" si="1"/>
        <v>0</v>
      </c>
    </row>
    <row r="12" spans="1:20" ht="29.25" customHeight="1" x14ac:dyDescent="0.25">
      <c r="B12" s="2" t="s">
        <v>314</v>
      </c>
      <c r="C12" s="243" t="s">
        <v>242</v>
      </c>
      <c r="D12" s="95" t="s">
        <v>243</v>
      </c>
      <c r="E12" s="2" t="s">
        <v>315</v>
      </c>
      <c r="F12" s="2" t="s">
        <v>7</v>
      </c>
      <c r="G12" s="191">
        <f>+G10</f>
        <v>2.9600000000000001E-2</v>
      </c>
      <c r="H12" s="191">
        <f>+H10</f>
        <v>0.1744</v>
      </c>
      <c r="I12" s="192">
        <v>44773</v>
      </c>
      <c r="J12" s="192">
        <v>44788</v>
      </c>
      <c r="K12" s="192">
        <v>43980</v>
      </c>
      <c r="L12" s="193" t="s">
        <v>316</v>
      </c>
      <c r="M12" s="81">
        <v>9518.5499999999993</v>
      </c>
      <c r="N12" s="72"/>
      <c r="O12" s="69">
        <f t="shared" si="0"/>
        <v>9518.5499999999993</v>
      </c>
      <c r="P12" s="69"/>
      <c r="Q12" s="69"/>
      <c r="R12" s="69"/>
      <c r="S12" s="70">
        <f t="shared" si="1"/>
        <v>0</v>
      </c>
    </row>
    <row r="13" spans="1:20" ht="29.25" customHeight="1" x14ac:dyDescent="0.25">
      <c r="B13" s="2" t="s">
        <v>318</v>
      </c>
      <c r="C13" s="243" t="s">
        <v>242</v>
      </c>
      <c r="D13" s="95" t="s">
        <v>243</v>
      </c>
      <c r="E13" s="2" t="s">
        <v>319</v>
      </c>
      <c r="F13" s="2" t="s">
        <v>7</v>
      </c>
      <c r="G13" s="191">
        <v>2.9600000000000001E-2</v>
      </c>
      <c r="H13" s="191">
        <v>0.1744</v>
      </c>
      <c r="I13" s="192">
        <v>44561</v>
      </c>
      <c r="J13" s="192">
        <v>44576</v>
      </c>
      <c r="K13" s="192">
        <v>43980</v>
      </c>
      <c r="L13" s="193" t="s">
        <v>320</v>
      </c>
      <c r="M13" s="81">
        <v>3000</v>
      </c>
      <c r="N13" s="69"/>
      <c r="O13" s="69">
        <f t="shared" si="0"/>
        <v>3000</v>
      </c>
      <c r="P13" s="68"/>
      <c r="Q13" s="69"/>
      <c r="R13" s="69"/>
      <c r="S13" s="70">
        <f t="shared" si="1"/>
        <v>0</v>
      </c>
    </row>
    <row r="14" spans="1:20" ht="29.25" customHeight="1" x14ac:dyDescent="0.25">
      <c r="B14" s="2" t="s">
        <v>321</v>
      </c>
      <c r="C14" s="243" t="s">
        <v>264</v>
      </c>
      <c r="D14" s="95" t="s">
        <v>254</v>
      </c>
      <c r="E14" s="2" t="s">
        <v>322</v>
      </c>
      <c r="F14" s="2" t="s">
        <v>7</v>
      </c>
      <c r="G14" s="191">
        <v>2.9600000000000001E-2</v>
      </c>
      <c r="H14" s="191">
        <v>0.1744</v>
      </c>
      <c r="I14" s="192">
        <v>44742</v>
      </c>
      <c r="J14" s="192">
        <v>44757</v>
      </c>
      <c r="K14" s="192">
        <v>43979</v>
      </c>
      <c r="L14" s="193" t="s">
        <v>323</v>
      </c>
      <c r="M14" s="81">
        <v>1027</v>
      </c>
      <c r="N14" s="69"/>
      <c r="O14" s="69">
        <f t="shared" si="0"/>
        <v>1027</v>
      </c>
      <c r="P14" s="68"/>
      <c r="Q14" s="69"/>
      <c r="R14" s="69"/>
      <c r="S14" s="70">
        <f t="shared" si="1"/>
        <v>0</v>
      </c>
    </row>
    <row r="15" spans="1:20" ht="29.25" customHeight="1" x14ac:dyDescent="0.25">
      <c r="B15" s="2" t="s">
        <v>327</v>
      </c>
      <c r="C15" s="243" t="s">
        <v>242</v>
      </c>
      <c r="D15" s="95" t="s">
        <v>328</v>
      </c>
      <c r="E15" s="2" t="s">
        <v>329</v>
      </c>
      <c r="F15" s="2" t="s">
        <v>7</v>
      </c>
      <c r="G15" s="191">
        <v>2.9600000000000001E-2</v>
      </c>
      <c r="H15" s="191">
        <v>0.1744</v>
      </c>
      <c r="I15" s="192">
        <v>44440</v>
      </c>
      <c r="J15" s="192">
        <v>44440</v>
      </c>
      <c r="K15" s="192">
        <v>44201</v>
      </c>
      <c r="L15" s="193" t="s">
        <v>330</v>
      </c>
      <c r="M15" s="81">
        <v>426497.35</v>
      </c>
      <c r="N15" s="69"/>
      <c r="O15" s="69">
        <f t="shared" si="0"/>
        <v>426497.35</v>
      </c>
      <c r="P15" s="68"/>
      <c r="Q15" s="69"/>
      <c r="R15" s="69"/>
      <c r="S15" s="70">
        <f t="shared" si="1"/>
        <v>0</v>
      </c>
    </row>
    <row r="16" spans="1:20" ht="17.25" customHeight="1" x14ac:dyDescent="0.25">
      <c r="C16" s="243"/>
      <c r="D16" s="204"/>
      <c r="G16" s="191"/>
      <c r="H16" s="191"/>
      <c r="I16" s="265"/>
      <c r="J16" s="192"/>
      <c r="K16" s="192"/>
      <c r="L16" s="193"/>
      <c r="M16" s="25"/>
      <c r="N16" s="25"/>
      <c r="O16" s="25"/>
      <c r="P16" s="29"/>
      <c r="Q16" s="25"/>
      <c r="R16" s="25"/>
      <c r="S16" s="26"/>
    </row>
    <row r="17" spans="2:19" ht="22.5" customHeight="1" x14ac:dyDescent="0.25">
      <c r="C17" s="94"/>
      <c r="D17" s="94"/>
      <c r="G17" s="126"/>
      <c r="H17" s="126"/>
      <c r="I17" s="119"/>
      <c r="J17" s="119"/>
      <c r="K17" s="119"/>
      <c r="L17" s="5" t="s">
        <v>38</v>
      </c>
      <c r="M17" s="68">
        <f>SUM(M7:M16)</f>
        <v>646100.37</v>
      </c>
      <c r="N17" s="68">
        <f>SUM(N7:N16)</f>
        <v>0</v>
      </c>
      <c r="O17" s="68">
        <f>SUM(O7:O16)</f>
        <v>646100.37</v>
      </c>
      <c r="Q17" s="68">
        <f>SUM(Q7:Q16)</f>
        <v>0</v>
      </c>
      <c r="R17" s="68">
        <f>SUM(R7:R16)</f>
        <v>0</v>
      </c>
      <c r="S17" s="23">
        <f>SUM(S7:S16)</f>
        <v>0</v>
      </c>
    </row>
    <row r="18" spans="2:19" x14ac:dyDescent="0.25">
      <c r="C18" s="94"/>
      <c r="D18" s="94"/>
      <c r="I18" s="119"/>
      <c r="J18" s="119"/>
      <c r="K18" s="119"/>
      <c r="L18" s="5"/>
      <c r="M18" s="68"/>
      <c r="N18" s="68"/>
      <c r="O18" s="68"/>
      <c r="Q18" s="68"/>
      <c r="R18" s="68"/>
      <c r="S18" s="70"/>
    </row>
    <row r="19" spans="2:19" x14ac:dyDescent="0.25">
      <c r="C19" s="94"/>
      <c r="D19" s="94"/>
      <c r="I19" s="119"/>
      <c r="J19" s="119"/>
      <c r="K19" s="119"/>
      <c r="L19" s="5"/>
      <c r="M19" s="68"/>
      <c r="N19" s="68"/>
      <c r="O19" s="68"/>
      <c r="Q19" s="68"/>
      <c r="R19" s="68"/>
      <c r="S19" s="70"/>
    </row>
    <row r="20" spans="2:19" x14ac:dyDescent="0.25">
      <c r="B20" s="8" t="s">
        <v>125</v>
      </c>
      <c r="C20" s="94"/>
      <c r="D20" s="94"/>
      <c r="L20" s="5"/>
      <c r="M20" s="68"/>
      <c r="N20" s="68"/>
      <c r="O20" s="68"/>
      <c r="Q20" s="68"/>
      <c r="R20" s="68"/>
      <c r="S20" s="70"/>
    </row>
    <row r="21" spans="2:19" ht="28.5" customHeight="1" x14ac:dyDescent="0.25">
      <c r="B21" s="338" t="s">
        <v>126</v>
      </c>
      <c r="C21" s="338"/>
      <c r="D21" s="338"/>
      <c r="E21" s="338"/>
      <c r="F21" s="338"/>
      <c r="G21" s="120"/>
      <c r="H21" s="120"/>
      <c r="I21" s="114"/>
      <c r="L21" s="5"/>
      <c r="M21" s="68"/>
      <c r="N21" s="68"/>
      <c r="O21" s="68"/>
      <c r="Q21" s="68"/>
      <c r="R21" s="68"/>
      <c r="S21" s="70"/>
    </row>
    <row r="22" spans="2:19" x14ac:dyDescent="0.25">
      <c r="C22" s="94"/>
      <c r="D22" s="94"/>
      <c r="L22" s="5"/>
      <c r="M22" s="68"/>
      <c r="N22" s="68"/>
      <c r="O22" s="68"/>
      <c r="Q22" s="68"/>
      <c r="R22" s="68"/>
      <c r="S22" s="70"/>
    </row>
    <row r="23" spans="2:19" ht="44.25" customHeight="1" x14ac:dyDescent="0.25">
      <c r="B23" s="338" t="s">
        <v>129</v>
      </c>
      <c r="C23" s="338"/>
      <c r="D23" s="338"/>
      <c r="E23" s="338"/>
      <c r="F23" s="338"/>
      <c r="G23" s="120"/>
      <c r="H23" s="120"/>
      <c r="I23" s="114"/>
      <c r="L23" s="5"/>
      <c r="M23" s="68"/>
      <c r="N23" s="68"/>
      <c r="O23" s="68"/>
      <c r="Q23" s="68"/>
      <c r="R23" s="68"/>
      <c r="S23" s="70"/>
    </row>
    <row r="24" spans="2:19" x14ac:dyDescent="0.25">
      <c r="B24" s="111"/>
      <c r="C24" s="111"/>
      <c r="D24" s="111"/>
      <c r="E24" s="111"/>
      <c r="F24" s="111"/>
      <c r="G24" s="120"/>
      <c r="H24" s="120"/>
      <c r="I24" s="114"/>
      <c r="L24" s="5"/>
      <c r="M24" s="68"/>
      <c r="N24" s="68"/>
      <c r="O24" s="68"/>
      <c r="Q24" s="68"/>
      <c r="R24" s="68"/>
      <c r="S24" s="70"/>
    </row>
    <row r="25" spans="2:19" ht="28.5" customHeight="1" x14ac:dyDescent="0.25">
      <c r="B25" s="338" t="s">
        <v>160</v>
      </c>
      <c r="C25" s="338"/>
      <c r="D25" s="338"/>
      <c r="E25" s="338"/>
      <c r="F25" s="338"/>
      <c r="G25" s="198"/>
      <c r="H25" s="198"/>
      <c r="I25" s="198"/>
      <c r="L25" s="5"/>
      <c r="M25" s="68"/>
      <c r="N25" s="68"/>
      <c r="O25" s="68"/>
      <c r="Q25" s="68"/>
      <c r="R25" s="68"/>
      <c r="S25" s="70"/>
    </row>
    <row r="26" spans="2:19" ht="15" customHeight="1" x14ac:dyDescent="0.25">
      <c r="B26" s="346" t="s">
        <v>159</v>
      </c>
      <c r="C26" s="338"/>
      <c r="D26" s="338"/>
      <c r="E26" s="338"/>
      <c r="F26" s="338"/>
      <c r="G26" s="198"/>
      <c r="H26" s="198"/>
      <c r="I26" s="198"/>
      <c r="L26" s="5"/>
      <c r="M26" s="68"/>
      <c r="N26" s="68"/>
      <c r="O26" s="68"/>
      <c r="Q26" s="68"/>
      <c r="R26" s="68"/>
      <c r="S26" s="70"/>
    </row>
    <row r="27" spans="2:19" ht="15" customHeight="1" x14ac:dyDescent="0.25">
      <c r="B27" s="200"/>
      <c r="C27" s="200"/>
      <c r="D27" s="200"/>
      <c r="E27" s="200"/>
      <c r="F27" s="200"/>
      <c r="G27" s="200"/>
      <c r="H27" s="200"/>
      <c r="I27" s="200"/>
      <c r="L27" s="5"/>
      <c r="M27" s="68"/>
      <c r="N27" s="68"/>
      <c r="O27" s="68"/>
      <c r="Q27" s="68"/>
      <c r="R27" s="68"/>
      <c r="S27" s="70"/>
    </row>
    <row r="28" spans="2:19" x14ac:dyDescent="0.25">
      <c r="B28" s="7" t="s">
        <v>109</v>
      </c>
      <c r="C28" s="104" t="s">
        <v>112</v>
      </c>
      <c r="D28" s="104" t="s">
        <v>113</v>
      </c>
      <c r="E28" s="111"/>
      <c r="F28" s="111"/>
      <c r="G28" s="120"/>
      <c r="H28" s="120"/>
      <c r="I28" s="114"/>
      <c r="L28" s="5"/>
      <c r="M28" s="68"/>
      <c r="N28" s="68"/>
      <c r="O28" s="68"/>
      <c r="Q28" s="68"/>
      <c r="R28" s="68"/>
      <c r="S28" s="70"/>
    </row>
    <row r="29" spans="2:19" x14ac:dyDescent="0.25">
      <c r="B29" s="2" t="s">
        <v>111</v>
      </c>
      <c r="C29" s="94" t="s">
        <v>114</v>
      </c>
      <c r="D29" s="94" t="s">
        <v>119</v>
      </c>
      <c r="L29" s="5"/>
      <c r="M29" s="68"/>
      <c r="N29" s="68"/>
      <c r="O29" s="68"/>
      <c r="Q29" s="68"/>
      <c r="R29" s="68"/>
      <c r="S29" s="70"/>
    </row>
    <row r="30" spans="2:19" x14ac:dyDescent="0.25">
      <c r="B30" s="2" t="s">
        <v>252</v>
      </c>
      <c r="C30" s="94" t="s">
        <v>135</v>
      </c>
      <c r="D30" s="94" t="s">
        <v>147</v>
      </c>
      <c r="L30" s="5"/>
      <c r="M30" s="68"/>
      <c r="N30" s="68"/>
      <c r="O30" s="68"/>
      <c r="Q30" s="68"/>
      <c r="R30" s="68"/>
      <c r="S30" s="70"/>
    </row>
    <row r="31" spans="2:19" x14ac:dyDescent="0.25">
      <c r="B31" s="2" t="s">
        <v>260</v>
      </c>
      <c r="C31" s="94" t="s">
        <v>135</v>
      </c>
      <c r="D31" s="94" t="s">
        <v>147</v>
      </c>
      <c r="L31" s="5"/>
      <c r="M31" s="68"/>
      <c r="N31" s="68"/>
      <c r="O31" s="68"/>
      <c r="Q31" s="68"/>
      <c r="R31" s="68"/>
      <c r="S31" s="70"/>
    </row>
    <row r="32" spans="2:19" x14ac:dyDescent="0.25">
      <c r="B32" s="2" t="s">
        <v>314</v>
      </c>
      <c r="C32" s="94" t="s">
        <v>135</v>
      </c>
      <c r="D32" s="94" t="s">
        <v>147</v>
      </c>
      <c r="L32" s="5"/>
      <c r="M32" s="68"/>
      <c r="N32" s="68"/>
      <c r="O32" s="68"/>
      <c r="Q32" s="68"/>
      <c r="R32" s="68"/>
      <c r="S32" s="70"/>
    </row>
    <row r="33" spans="1:20" x14ac:dyDescent="0.25">
      <c r="B33" s="2" t="s">
        <v>318</v>
      </c>
      <c r="C33" s="94" t="s">
        <v>135</v>
      </c>
      <c r="D33" s="94" t="s">
        <v>147</v>
      </c>
      <c r="L33" s="5"/>
      <c r="M33" s="68"/>
      <c r="N33" s="68"/>
      <c r="O33" s="68"/>
      <c r="Q33" s="68"/>
      <c r="R33" s="68"/>
      <c r="S33" s="70"/>
    </row>
    <row r="34" spans="1:20" x14ac:dyDescent="0.25">
      <c r="B34" s="2" t="s">
        <v>321</v>
      </c>
      <c r="C34" s="94" t="s">
        <v>135</v>
      </c>
      <c r="D34" s="94" t="s">
        <v>147</v>
      </c>
      <c r="L34" s="5"/>
      <c r="M34" s="68"/>
      <c r="N34" s="68"/>
      <c r="O34" s="68"/>
      <c r="Q34" s="68"/>
      <c r="R34" s="68"/>
      <c r="S34" s="70"/>
    </row>
    <row r="35" spans="1:20" x14ac:dyDescent="0.25">
      <c r="B35" s="2" t="s">
        <v>326</v>
      </c>
      <c r="C35" s="94" t="s">
        <v>135</v>
      </c>
      <c r="D35" s="94" t="s">
        <v>147</v>
      </c>
      <c r="L35" s="5"/>
      <c r="M35" s="68"/>
      <c r="N35" s="68"/>
      <c r="O35" s="68"/>
      <c r="Q35" s="68"/>
      <c r="R35" s="68"/>
      <c r="S35" s="70"/>
    </row>
    <row r="36" spans="1:20" x14ac:dyDescent="0.25">
      <c r="C36" s="94"/>
      <c r="D36" s="94"/>
      <c r="L36" s="5"/>
      <c r="M36" s="68"/>
      <c r="N36" s="68"/>
      <c r="O36" s="68"/>
      <c r="Q36" s="68"/>
      <c r="R36" s="68"/>
      <c r="S36" s="70"/>
    </row>
    <row r="37" spans="1:20" x14ac:dyDescent="0.25">
      <c r="B37" s="269" t="s">
        <v>235</v>
      </c>
      <c r="C37" s="94"/>
      <c r="D37" s="94"/>
      <c r="L37" s="5"/>
      <c r="M37" s="68"/>
      <c r="N37" s="68"/>
      <c r="O37" s="68"/>
      <c r="Q37" s="68"/>
      <c r="R37" s="68"/>
      <c r="S37" s="70"/>
    </row>
    <row r="38" spans="1:20" x14ac:dyDescent="0.25">
      <c r="B38" s="333" t="s">
        <v>236</v>
      </c>
      <c r="C38" s="333"/>
      <c r="D38" s="333"/>
      <c r="E38" s="333"/>
      <c r="F38" s="333"/>
      <c r="G38" s="333"/>
      <c r="H38" s="333"/>
      <c r="L38" s="5"/>
      <c r="M38" s="68"/>
      <c r="N38" s="68"/>
      <c r="O38" s="68"/>
      <c r="Q38" s="68"/>
      <c r="R38" s="68"/>
      <c r="S38" s="70"/>
    </row>
    <row r="39" spans="1:20" x14ac:dyDescent="0.25">
      <c r="C39" s="94"/>
      <c r="D39" s="94"/>
      <c r="L39" s="5"/>
      <c r="M39" s="68"/>
      <c r="N39" s="68"/>
      <c r="O39" s="68"/>
      <c r="Q39" s="68"/>
      <c r="R39" s="68"/>
      <c r="S39" s="70"/>
    </row>
    <row r="40" spans="1:20" ht="15" customHeight="1" x14ac:dyDescent="0.25">
      <c r="A40" s="178"/>
      <c r="B40" s="112"/>
      <c r="C40" s="112"/>
      <c r="D40" s="112"/>
      <c r="E40" s="112"/>
      <c r="F40" s="112"/>
      <c r="G40" s="112"/>
      <c r="H40" s="112"/>
      <c r="I40" s="112"/>
      <c r="J40" s="112"/>
      <c r="K40" s="112"/>
      <c r="L40" s="112"/>
      <c r="M40" s="112"/>
      <c r="N40" s="112"/>
      <c r="O40" s="112"/>
      <c r="P40" s="112"/>
      <c r="Q40" s="175" t="s">
        <v>90</v>
      </c>
      <c r="R40" s="176"/>
      <c r="S40" s="177"/>
    </row>
    <row r="41" spans="1:20" ht="15" customHeight="1" x14ac:dyDescent="0.25">
      <c r="A41" s="179"/>
      <c r="B41" s="17" t="s">
        <v>39</v>
      </c>
      <c r="C41" s="162" t="s">
        <v>2</v>
      </c>
      <c r="D41" s="162"/>
      <c r="E41" s="162" t="s">
        <v>34</v>
      </c>
      <c r="F41" s="162" t="s">
        <v>35</v>
      </c>
      <c r="G41" s="162"/>
      <c r="H41" s="162"/>
      <c r="I41" s="162"/>
      <c r="J41" s="162"/>
      <c r="K41" s="162"/>
      <c r="L41" s="162" t="s">
        <v>36</v>
      </c>
      <c r="M41" s="162" t="s">
        <v>37</v>
      </c>
      <c r="N41" s="10"/>
      <c r="O41" s="10"/>
      <c r="P41" s="10"/>
      <c r="Q41" s="54" t="s">
        <v>88</v>
      </c>
      <c r="R41" s="54"/>
      <c r="S41" s="55"/>
    </row>
    <row r="42" spans="1:20" ht="15" customHeight="1" x14ac:dyDescent="0.25">
      <c r="B42" s="65"/>
      <c r="C42" s="9"/>
      <c r="D42" s="9"/>
      <c r="E42" s="9"/>
      <c r="F42" s="9"/>
      <c r="G42" s="9"/>
      <c r="H42" s="9"/>
      <c r="I42" s="9"/>
      <c r="J42" s="9"/>
      <c r="K42" s="9"/>
      <c r="L42" s="9"/>
      <c r="M42" s="9"/>
    </row>
    <row r="43" spans="1:20" x14ac:dyDescent="0.25">
      <c r="B43" s="65"/>
      <c r="C43" s="9"/>
      <c r="D43" s="9"/>
      <c r="E43" s="9"/>
      <c r="F43" s="9"/>
      <c r="G43" s="9"/>
      <c r="H43" s="9"/>
      <c r="I43" s="9"/>
      <c r="J43" s="9"/>
      <c r="K43" s="9"/>
      <c r="L43" s="9"/>
      <c r="M43" s="9"/>
      <c r="Q43" s="58"/>
      <c r="R43" s="51"/>
      <c r="S43" s="51"/>
    </row>
    <row r="44" spans="1:20" x14ac:dyDescent="0.25">
      <c r="B44" s="12"/>
      <c r="C44" s="13"/>
      <c r="D44" s="13"/>
      <c r="E44" s="14"/>
      <c r="F44" s="15"/>
      <c r="G44" s="15"/>
      <c r="H44" s="15"/>
      <c r="I44" s="15"/>
      <c r="J44" s="15"/>
      <c r="K44" s="15"/>
      <c r="L44" s="16"/>
      <c r="M44" s="31"/>
      <c r="N44" s="45"/>
      <c r="O44" s="45"/>
      <c r="P44" s="45"/>
      <c r="R44" s="51"/>
      <c r="S44" s="51"/>
      <c r="T44" s="51"/>
    </row>
    <row r="45" spans="1:20" x14ac:dyDescent="0.25">
      <c r="B45" s="12"/>
      <c r="C45" s="13"/>
      <c r="D45" s="13"/>
      <c r="E45" s="14"/>
      <c r="F45" s="15"/>
      <c r="G45" s="15"/>
      <c r="H45" s="15"/>
      <c r="I45" s="15"/>
      <c r="J45" s="15"/>
      <c r="K45" s="15"/>
      <c r="L45" s="16"/>
      <c r="M45" s="31"/>
      <c r="N45" s="18"/>
      <c r="O45" s="18"/>
      <c r="P45" s="18"/>
      <c r="Q45" s="51"/>
      <c r="R45" s="51"/>
      <c r="S45" s="51"/>
      <c r="T45" s="51"/>
    </row>
    <row r="46" spans="1:20" x14ac:dyDescent="0.25">
      <c r="B46" s="12"/>
      <c r="C46" s="13"/>
      <c r="D46" s="13"/>
      <c r="E46" s="14"/>
      <c r="F46" s="15"/>
      <c r="G46" s="15"/>
      <c r="H46" s="15"/>
      <c r="I46" s="15"/>
      <c r="J46" s="15"/>
      <c r="K46" s="15"/>
      <c r="L46" s="16"/>
      <c r="M46" s="31"/>
      <c r="N46" s="18"/>
      <c r="O46" s="18"/>
      <c r="P46" s="18"/>
      <c r="Q46" s="51"/>
      <c r="R46" s="51"/>
      <c r="S46" s="51"/>
      <c r="T46" s="51"/>
    </row>
    <row r="47" spans="1:20" x14ac:dyDescent="0.25">
      <c r="B47" s="12"/>
      <c r="C47" s="13"/>
      <c r="D47" s="13"/>
      <c r="E47" s="14"/>
      <c r="F47" s="15"/>
      <c r="G47" s="15"/>
      <c r="H47" s="15"/>
      <c r="I47" s="15"/>
      <c r="J47" s="15"/>
      <c r="K47" s="15"/>
      <c r="L47" s="16"/>
      <c r="M47" s="31"/>
      <c r="N47" s="18"/>
      <c r="O47" s="18"/>
      <c r="P47" s="18"/>
      <c r="Q47" s="51"/>
      <c r="R47" s="51"/>
      <c r="S47" s="51"/>
      <c r="T47" s="51"/>
    </row>
    <row r="48" spans="1:20" x14ac:dyDescent="0.25">
      <c r="B48" s="12"/>
      <c r="C48" s="13"/>
      <c r="D48" s="13"/>
      <c r="E48" s="14"/>
      <c r="F48" s="15"/>
      <c r="G48" s="15"/>
      <c r="H48" s="15"/>
      <c r="I48" s="15"/>
      <c r="J48" s="15"/>
      <c r="K48" s="15"/>
      <c r="L48" s="16"/>
      <c r="M48" s="31"/>
      <c r="N48" s="18"/>
      <c r="O48" s="18"/>
      <c r="P48" s="18"/>
      <c r="Q48" s="51"/>
      <c r="R48" s="51"/>
      <c r="S48" s="51"/>
      <c r="T48" s="51"/>
    </row>
    <row r="50" spans="17:19" x14ac:dyDescent="0.25">
      <c r="Q50" s="325" t="s">
        <v>343</v>
      </c>
      <c r="R50" s="325"/>
      <c r="S50" s="327">
        <f>S17</f>
        <v>0</v>
      </c>
    </row>
  </sheetData>
  <mergeCells count="7">
    <mergeCell ref="B38:H38"/>
    <mergeCell ref="B26:F26"/>
    <mergeCell ref="Q2:S2"/>
    <mergeCell ref="Q1:S1"/>
    <mergeCell ref="B21:F21"/>
    <mergeCell ref="B23:F23"/>
    <mergeCell ref="B25:F25"/>
  </mergeCells>
  <hyperlinks>
    <hyperlink ref="B26" r:id="rId1"/>
  </hyperlinks>
  <printOptions horizontalCentered="1" gridLines="1"/>
  <pageMargins left="0" right="0" top="0.75" bottom="0.75" header="0.3" footer="0.3"/>
  <pageSetup scale="53" orientation="landscape" horizontalDpi="1200" verticalDpi="1200"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3"/>
  <sheetViews>
    <sheetView topLeftCell="F1" zoomScale="136" zoomScaleNormal="136" workbookViewId="0">
      <pane ySplit="1" topLeftCell="A27" activePane="bottomLeft" state="frozen"/>
      <selection activeCell="C42" sqref="C42"/>
      <selection pane="bottomLeft" activeCell="S50" sqref="S50"/>
    </sheetView>
  </sheetViews>
  <sheetFormatPr defaultColWidth="9.140625" defaultRowHeight="15" x14ac:dyDescent="0.25"/>
  <cols>
    <col min="1" max="1" width="9.140625" style="2" hidden="1" customWidth="1"/>
    <col min="2" max="2" width="57.85546875" style="2" customWidth="1"/>
    <col min="3" max="3" width="26.42578125" style="2" customWidth="1"/>
    <col min="4" max="4" width="13.7109375" style="2" customWidth="1"/>
    <col min="5" max="5" width="18" style="2" customWidth="1"/>
    <col min="6" max="6" width="21.5703125" style="2" customWidth="1"/>
    <col min="7" max="7" width="10.28515625" style="2" customWidth="1"/>
    <col min="8" max="8" width="12.85546875" style="2" customWidth="1"/>
    <col min="9" max="9" width="13.42578125" style="2" customWidth="1"/>
    <col min="10" max="10" width="15.7109375" style="2" customWidth="1"/>
    <col min="11" max="11" width="8.85546875" style="2" customWidth="1"/>
    <col min="12" max="12" width="19.57031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8.42578125" style="2" customWidth="1"/>
    <col min="20" max="16384" width="9.140625" style="2"/>
  </cols>
  <sheetData>
    <row r="1" spans="1:20" ht="18" customHeight="1" x14ac:dyDescent="0.25">
      <c r="A1" s="2" t="s">
        <v>342</v>
      </c>
      <c r="B1" s="1" t="s">
        <v>99</v>
      </c>
      <c r="Q1" s="335" t="s">
        <v>230</v>
      </c>
      <c r="R1" s="335"/>
      <c r="S1" s="335"/>
    </row>
    <row r="2" spans="1:20" ht="18" customHeight="1" x14ac:dyDescent="0.25">
      <c r="B2" s="90" t="s">
        <v>148</v>
      </c>
      <c r="C2" s="187">
        <v>44377</v>
      </c>
      <c r="M2" s="73"/>
      <c r="N2" s="73"/>
      <c r="P2" s="29"/>
      <c r="Q2" s="334" t="s">
        <v>338</v>
      </c>
      <c r="R2" s="334"/>
      <c r="S2" s="334"/>
    </row>
    <row r="3" spans="1:20" ht="18" customHeight="1" thickBot="1" x14ac:dyDescent="0.3">
      <c r="A3" s="2" t="s">
        <v>16</v>
      </c>
      <c r="B3" s="44" t="s">
        <v>57</v>
      </c>
      <c r="C3" s="8"/>
      <c r="D3" s="8"/>
      <c r="E3" s="8"/>
      <c r="P3" s="29"/>
      <c r="Q3" s="45"/>
      <c r="R3" s="30"/>
    </row>
    <row r="4" spans="1:20" ht="18.75" customHeight="1" x14ac:dyDescent="0.25">
      <c r="B4" s="8" t="s">
        <v>174</v>
      </c>
      <c r="M4" s="87" t="s">
        <v>28</v>
      </c>
      <c r="N4" s="87" t="s">
        <v>28</v>
      </c>
      <c r="O4" s="87" t="s">
        <v>28</v>
      </c>
      <c r="P4" s="9"/>
      <c r="Q4" s="91" t="s">
        <v>29</v>
      </c>
      <c r="R4" s="91" t="s">
        <v>31</v>
      </c>
      <c r="S4" s="91" t="s">
        <v>23</v>
      </c>
      <c r="T4" s="7"/>
    </row>
    <row r="5" spans="1:20" ht="15.75" thickBot="1" x14ac:dyDescent="0.3">
      <c r="G5" s="188" t="s">
        <v>231</v>
      </c>
      <c r="H5" s="188" t="s">
        <v>231</v>
      </c>
      <c r="M5" s="88" t="s">
        <v>27</v>
      </c>
      <c r="N5" s="88" t="s">
        <v>26</v>
      </c>
      <c r="O5" s="88" t="s">
        <v>25</v>
      </c>
      <c r="P5" s="9"/>
      <c r="Q5" s="92" t="s">
        <v>30</v>
      </c>
      <c r="R5" s="92" t="s">
        <v>30</v>
      </c>
      <c r="S5" s="92" t="s">
        <v>30</v>
      </c>
      <c r="T5" s="7"/>
    </row>
    <row r="6" spans="1:20" ht="85.5" customHeight="1" thickBot="1" x14ac:dyDescent="0.3">
      <c r="B6" s="86" t="s">
        <v>1</v>
      </c>
      <c r="C6" s="86" t="s">
        <v>127</v>
      </c>
      <c r="D6" s="86" t="s">
        <v>107</v>
      </c>
      <c r="E6" s="86" t="s">
        <v>3</v>
      </c>
      <c r="F6" s="86" t="s">
        <v>4</v>
      </c>
      <c r="G6" s="110" t="s">
        <v>136</v>
      </c>
      <c r="H6" s="110" t="s">
        <v>137</v>
      </c>
      <c r="I6" s="110" t="s">
        <v>133</v>
      </c>
      <c r="J6" s="110" t="s">
        <v>134</v>
      </c>
      <c r="K6" s="110" t="s">
        <v>121</v>
      </c>
      <c r="L6" s="85" t="s">
        <v>5</v>
      </c>
      <c r="M6" s="89" t="s">
        <v>6</v>
      </c>
      <c r="N6" s="89" t="s">
        <v>6</v>
      </c>
      <c r="O6" s="89" t="s">
        <v>6</v>
      </c>
      <c r="P6" s="9"/>
      <c r="Q6" s="93"/>
      <c r="R6" s="99" t="s">
        <v>32</v>
      </c>
      <c r="S6" s="100" t="s">
        <v>33</v>
      </c>
    </row>
    <row r="7" spans="1:20" ht="30.75" customHeight="1" x14ac:dyDescent="0.25">
      <c r="B7" s="2" t="s">
        <v>8</v>
      </c>
      <c r="C7" s="94" t="s">
        <v>106</v>
      </c>
      <c r="D7" s="94" t="s">
        <v>246</v>
      </c>
      <c r="E7" s="2" t="s">
        <v>232</v>
      </c>
      <c r="F7" s="2" t="s">
        <v>7</v>
      </c>
      <c r="G7" s="191">
        <v>2.9600000000000001E-2</v>
      </c>
      <c r="H7" s="191">
        <v>0.1744</v>
      </c>
      <c r="I7" s="192">
        <v>44377</v>
      </c>
      <c r="J7" s="192">
        <v>44378</v>
      </c>
      <c r="K7" s="192">
        <v>44013</v>
      </c>
      <c r="L7" s="193" t="s">
        <v>234</v>
      </c>
      <c r="M7" s="67">
        <v>136549.1</v>
      </c>
      <c r="N7" s="68">
        <f>136666.6-M7</f>
        <v>117.5</v>
      </c>
      <c r="O7" s="68">
        <f t="shared" ref="O7:O13" si="0">SUM(M7:N7)</f>
        <v>136666.6</v>
      </c>
      <c r="P7" s="68"/>
      <c r="Q7" s="68">
        <f>8693.36+12462.45+27486.44+8951.98+19721.42+8580.33+7962.37+13813.02+8419.34</f>
        <v>116090.70999999999</v>
      </c>
      <c r="R7" s="68"/>
      <c r="S7" s="70">
        <f t="shared" ref="S7:S13" si="1">Q7+R7</f>
        <v>116090.70999999999</v>
      </c>
    </row>
    <row r="8" spans="1:20" ht="33.75" customHeight="1" x14ac:dyDescent="0.25">
      <c r="B8" s="2" t="s">
        <v>128</v>
      </c>
      <c r="C8" s="231" t="s">
        <v>122</v>
      </c>
      <c r="D8" s="95" t="s">
        <v>248</v>
      </c>
      <c r="E8" s="2" t="s">
        <v>233</v>
      </c>
      <c r="F8" s="2" t="s">
        <v>7</v>
      </c>
      <c r="G8" s="191">
        <f>+G7</f>
        <v>2.9600000000000001E-2</v>
      </c>
      <c r="H8" s="191">
        <f>+H7</f>
        <v>0.1744</v>
      </c>
      <c r="I8" s="192">
        <f>+I7</f>
        <v>44377</v>
      </c>
      <c r="J8" s="192">
        <f>+J7</f>
        <v>44378</v>
      </c>
      <c r="K8" s="192">
        <f>+K7</f>
        <v>44013</v>
      </c>
      <c r="L8" s="209" t="str">
        <f t="shared" ref="L8" si="2">+L7</f>
        <v>07/01/20 - 06/30/21</v>
      </c>
      <c r="M8" s="67">
        <v>5824</v>
      </c>
      <c r="N8" s="68">
        <v>902.72</v>
      </c>
      <c r="O8" s="68">
        <f t="shared" si="0"/>
        <v>6726.72</v>
      </c>
      <c r="P8" s="68"/>
      <c r="Q8" s="68">
        <f>5824+902.72</f>
        <v>6726.72</v>
      </c>
      <c r="R8" s="68"/>
      <c r="S8" s="70">
        <f t="shared" si="1"/>
        <v>6726.72</v>
      </c>
    </row>
    <row r="9" spans="1:20" ht="30" customHeight="1" x14ac:dyDescent="0.25">
      <c r="B9" s="2" t="s">
        <v>229</v>
      </c>
      <c r="C9" s="243" t="s">
        <v>201</v>
      </c>
      <c r="D9" s="204" t="s">
        <v>226</v>
      </c>
      <c r="E9" s="2" t="s">
        <v>228</v>
      </c>
      <c r="F9" s="2" t="s">
        <v>7</v>
      </c>
      <c r="G9" s="191">
        <v>2.9600000000000001E-2</v>
      </c>
      <c r="H9" s="191">
        <v>0.1744</v>
      </c>
      <c r="I9" s="192">
        <v>44043</v>
      </c>
      <c r="J9" s="192">
        <v>44058</v>
      </c>
      <c r="K9" s="192">
        <v>43647</v>
      </c>
      <c r="L9" s="193" t="s">
        <v>313</v>
      </c>
      <c r="M9" s="67">
        <v>242120</v>
      </c>
      <c r="N9" s="68"/>
      <c r="O9" s="68">
        <f t="shared" si="0"/>
        <v>242120</v>
      </c>
      <c r="P9" s="68"/>
      <c r="Q9" s="68">
        <f>15671.33+73289.07</f>
        <v>88960.400000000009</v>
      </c>
      <c r="R9" s="68"/>
      <c r="S9" s="70">
        <f t="shared" si="1"/>
        <v>88960.400000000009</v>
      </c>
    </row>
    <row r="10" spans="1:20" ht="30" customHeight="1" x14ac:dyDescent="0.25">
      <c r="B10" s="251" t="s">
        <v>216</v>
      </c>
      <c r="C10" s="113" t="s">
        <v>259</v>
      </c>
      <c r="D10" s="94" t="s">
        <v>218</v>
      </c>
      <c r="E10" s="2" t="s">
        <v>219</v>
      </c>
      <c r="F10" s="2" t="s">
        <v>7</v>
      </c>
      <c r="G10" s="191">
        <f>G9</f>
        <v>2.9600000000000001E-2</v>
      </c>
      <c r="H10" s="191">
        <f>H9</f>
        <v>0.1744</v>
      </c>
      <c r="I10" s="192">
        <v>44074</v>
      </c>
      <c r="J10" s="192">
        <v>44075</v>
      </c>
      <c r="K10" s="192">
        <v>43647</v>
      </c>
      <c r="L10" s="193" t="s">
        <v>220</v>
      </c>
      <c r="M10" s="67">
        <v>138462.5</v>
      </c>
      <c r="N10" s="68"/>
      <c r="O10" s="68">
        <f t="shared" si="0"/>
        <v>138462.5</v>
      </c>
      <c r="P10" s="68"/>
      <c r="Q10" s="68">
        <f>6993.92+6993.92</f>
        <v>13987.84</v>
      </c>
      <c r="R10" s="68"/>
      <c r="S10" s="70">
        <f t="shared" si="1"/>
        <v>13987.84</v>
      </c>
    </row>
    <row r="11" spans="1:20" ht="30" customHeight="1" x14ac:dyDescent="0.25">
      <c r="B11" s="2" t="s">
        <v>241</v>
      </c>
      <c r="C11" s="243" t="s">
        <v>242</v>
      </c>
      <c r="D11" s="95" t="s">
        <v>243</v>
      </c>
      <c r="E11" s="2" t="s">
        <v>244</v>
      </c>
      <c r="F11" s="2" t="s">
        <v>7</v>
      </c>
      <c r="G11" s="191">
        <f t="shared" ref="G11:H11" si="3">+G10</f>
        <v>2.9600000000000001E-2</v>
      </c>
      <c r="H11" s="191">
        <f t="shared" si="3"/>
        <v>0.1744</v>
      </c>
      <c r="I11" s="192">
        <v>44834</v>
      </c>
      <c r="J11" s="192">
        <v>44849</v>
      </c>
      <c r="K11" s="192">
        <v>43614</v>
      </c>
      <c r="L11" s="193" t="s">
        <v>311</v>
      </c>
      <c r="M11" s="67">
        <v>45502.84</v>
      </c>
      <c r="N11" s="68"/>
      <c r="O11" s="68">
        <v>45502.84</v>
      </c>
      <c r="P11" s="68"/>
      <c r="Q11" s="68">
        <f>20312.03+12164.66+1623.26+1525.26+1459.8+979.75+600+335.6</f>
        <v>39000.36</v>
      </c>
      <c r="R11" s="68"/>
      <c r="S11" s="70">
        <f t="shared" si="1"/>
        <v>39000.36</v>
      </c>
    </row>
    <row r="12" spans="1:20" ht="30" customHeight="1" x14ac:dyDescent="0.25">
      <c r="B12" s="280" t="s">
        <v>216</v>
      </c>
      <c r="C12" s="113" t="s">
        <v>259</v>
      </c>
      <c r="D12" s="94" t="s">
        <v>246</v>
      </c>
      <c r="E12" s="2" t="s">
        <v>247</v>
      </c>
      <c r="F12" s="2" t="s">
        <v>7</v>
      </c>
      <c r="G12" s="191">
        <f>G11</f>
        <v>2.9600000000000001E-2</v>
      </c>
      <c r="H12" s="191">
        <f>H11</f>
        <v>0.1744</v>
      </c>
      <c r="I12" s="192">
        <v>44439</v>
      </c>
      <c r="J12" s="192">
        <v>44440</v>
      </c>
      <c r="K12" s="192">
        <v>44013</v>
      </c>
      <c r="L12" s="193" t="s">
        <v>245</v>
      </c>
      <c r="M12" s="67">
        <v>107848.75</v>
      </c>
      <c r="N12" s="68"/>
      <c r="O12" s="68">
        <f t="shared" si="0"/>
        <v>107848.75</v>
      </c>
      <c r="P12" s="68"/>
      <c r="Q12" s="68">
        <f>7577.84+6091.66+917.12+1454.73+1643.95+2218.15+2800+1892.32</f>
        <v>24595.77</v>
      </c>
      <c r="R12" s="68"/>
      <c r="S12" s="70">
        <f t="shared" si="1"/>
        <v>24595.77</v>
      </c>
    </row>
    <row r="13" spans="1:20" ht="36" customHeight="1" x14ac:dyDescent="0.25">
      <c r="B13" s="287" t="s">
        <v>257</v>
      </c>
      <c r="C13" s="243" t="s">
        <v>253</v>
      </c>
      <c r="D13" s="95" t="s">
        <v>254</v>
      </c>
      <c r="E13" s="2" t="s">
        <v>255</v>
      </c>
      <c r="F13" s="2" t="s">
        <v>7</v>
      </c>
      <c r="G13" s="191">
        <f t="shared" ref="G13:H15" si="4">+G12</f>
        <v>2.9600000000000001E-2</v>
      </c>
      <c r="H13" s="191">
        <f t="shared" si="4"/>
        <v>0.1744</v>
      </c>
      <c r="I13" s="192">
        <v>44287</v>
      </c>
      <c r="J13" s="192">
        <v>44302</v>
      </c>
      <c r="K13" s="192">
        <v>43613</v>
      </c>
      <c r="L13" s="193" t="s">
        <v>312</v>
      </c>
      <c r="M13" s="67">
        <v>4538.78</v>
      </c>
      <c r="N13" s="297">
        <v>-3043.56</v>
      </c>
      <c r="O13" s="68">
        <f t="shared" si="0"/>
        <v>1495.2199999999998</v>
      </c>
      <c r="P13" s="68"/>
      <c r="Q13" s="68">
        <f>561.77+933.45</f>
        <v>1495.22</v>
      </c>
      <c r="R13" s="68"/>
      <c r="S13" s="70">
        <f t="shared" si="1"/>
        <v>1495.22</v>
      </c>
    </row>
    <row r="14" spans="1:20" ht="30" customHeight="1" x14ac:dyDescent="0.25">
      <c r="B14" s="2" t="s">
        <v>283</v>
      </c>
      <c r="C14" s="243" t="s">
        <v>264</v>
      </c>
      <c r="D14" s="95" t="s">
        <v>254</v>
      </c>
      <c r="E14" s="2" t="s">
        <v>284</v>
      </c>
      <c r="F14" s="2" t="s">
        <v>7</v>
      </c>
      <c r="G14" s="191">
        <f t="shared" si="4"/>
        <v>2.9600000000000001E-2</v>
      </c>
      <c r="H14" s="191">
        <f t="shared" si="4"/>
        <v>0.1744</v>
      </c>
      <c r="I14" s="192">
        <v>44377</v>
      </c>
      <c r="J14" s="192">
        <v>44392</v>
      </c>
      <c r="K14" s="192">
        <v>43613</v>
      </c>
      <c r="L14" s="193" t="s">
        <v>234</v>
      </c>
      <c r="M14" s="81">
        <v>7302.48</v>
      </c>
      <c r="N14" s="69"/>
      <c r="O14" s="69">
        <f>M14+N14</f>
        <v>7302.48</v>
      </c>
      <c r="P14" s="69"/>
      <c r="Q14" s="69">
        <f>3219+483.48</f>
        <v>3702.48</v>
      </c>
      <c r="R14" s="69"/>
      <c r="S14" s="70">
        <f>Q14+R14</f>
        <v>3702.48</v>
      </c>
    </row>
    <row r="15" spans="1:20" ht="30" customHeight="1" x14ac:dyDescent="0.25">
      <c r="B15" s="2" t="s">
        <v>276</v>
      </c>
      <c r="C15" s="243" t="s">
        <v>277</v>
      </c>
      <c r="D15" s="95" t="s">
        <v>246</v>
      </c>
      <c r="E15" s="2" t="s">
        <v>278</v>
      </c>
      <c r="F15" s="2" t="s">
        <v>7</v>
      </c>
      <c r="G15" s="191">
        <f t="shared" si="4"/>
        <v>2.9600000000000001E-2</v>
      </c>
      <c r="H15" s="191">
        <f t="shared" si="4"/>
        <v>0.1744</v>
      </c>
      <c r="I15" s="192">
        <v>44377</v>
      </c>
      <c r="J15" s="192">
        <v>44392</v>
      </c>
      <c r="K15" s="192">
        <v>44013</v>
      </c>
      <c r="L15" s="193" t="s">
        <v>332</v>
      </c>
      <c r="M15" s="81">
        <v>22500</v>
      </c>
      <c r="N15" s="69"/>
      <c r="O15" s="69">
        <f>M15+N15</f>
        <v>22500</v>
      </c>
      <c r="P15" s="69"/>
      <c r="Q15" s="69">
        <f>11250+11250</f>
        <v>22500</v>
      </c>
      <c r="R15" s="69"/>
      <c r="S15" s="70">
        <f>Q15+R15</f>
        <v>22500</v>
      </c>
    </row>
    <row r="16" spans="1:20" ht="30" customHeight="1" x14ac:dyDescent="0.25">
      <c r="B16" s="2" t="s">
        <v>314</v>
      </c>
      <c r="C16" s="243" t="s">
        <v>242</v>
      </c>
      <c r="D16" s="95" t="s">
        <v>243</v>
      </c>
      <c r="E16" s="2" t="s">
        <v>315</v>
      </c>
      <c r="F16" s="2" t="s">
        <v>7</v>
      </c>
      <c r="G16" s="191">
        <f>+G14</f>
        <v>2.9600000000000001E-2</v>
      </c>
      <c r="H16" s="191">
        <f>+H14</f>
        <v>0.1744</v>
      </c>
      <c r="I16" s="192">
        <v>44773</v>
      </c>
      <c r="J16" s="192">
        <v>44788</v>
      </c>
      <c r="K16" s="192">
        <v>43980</v>
      </c>
      <c r="L16" s="193" t="s">
        <v>316</v>
      </c>
      <c r="M16" s="81">
        <v>1700.77</v>
      </c>
      <c r="N16" s="72"/>
      <c r="O16" s="69">
        <f>M16+N16</f>
        <v>1700.77</v>
      </c>
      <c r="P16" s="69"/>
      <c r="Q16" s="69"/>
      <c r="R16" s="69"/>
      <c r="S16" s="70">
        <f>Q16+R16</f>
        <v>0</v>
      </c>
    </row>
    <row r="17" spans="1:19" ht="30" customHeight="1" x14ac:dyDescent="0.25">
      <c r="B17" s="2" t="s">
        <v>318</v>
      </c>
      <c r="C17" s="243" t="s">
        <v>242</v>
      </c>
      <c r="D17" s="95" t="s">
        <v>243</v>
      </c>
      <c r="E17" s="2" t="s">
        <v>319</v>
      </c>
      <c r="F17" s="2" t="s">
        <v>7</v>
      </c>
      <c r="G17" s="191">
        <v>2.9600000000000001E-2</v>
      </c>
      <c r="H17" s="191">
        <v>0.1744</v>
      </c>
      <c r="I17" s="192">
        <v>44561</v>
      </c>
      <c r="J17" s="192">
        <v>44576</v>
      </c>
      <c r="K17" s="192">
        <v>43980</v>
      </c>
      <c r="L17" s="193" t="s">
        <v>320</v>
      </c>
      <c r="M17" s="81">
        <v>3000</v>
      </c>
      <c r="N17" s="69"/>
      <c r="O17" s="69">
        <f t="shared" ref="O17:O20" si="5">M17+N17</f>
        <v>3000</v>
      </c>
      <c r="P17" s="68"/>
      <c r="Q17" s="69"/>
      <c r="R17" s="69"/>
      <c r="S17" s="70">
        <f t="shared" ref="S17:S20" si="6">Q17+R17</f>
        <v>0</v>
      </c>
    </row>
    <row r="18" spans="1:19" ht="30" customHeight="1" x14ac:dyDescent="0.25">
      <c r="B18" s="2" t="s">
        <v>321</v>
      </c>
      <c r="C18" s="243" t="s">
        <v>264</v>
      </c>
      <c r="D18" s="95" t="s">
        <v>254</v>
      </c>
      <c r="E18" s="2" t="s">
        <v>322</v>
      </c>
      <c r="F18" s="2" t="s">
        <v>7</v>
      </c>
      <c r="G18" s="191">
        <v>2.9600000000000001E-2</v>
      </c>
      <c r="H18" s="191">
        <v>0.1744</v>
      </c>
      <c r="I18" s="192">
        <v>44742</v>
      </c>
      <c r="J18" s="192">
        <v>44757</v>
      </c>
      <c r="K18" s="192">
        <v>43979</v>
      </c>
      <c r="L18" s="193" t="s">
        <v>323</v>
      </c>
      <c r="M18" s="81">
        <v>1027</v>
      </c>
      <c r="N18" s="69"/>
      <c r="O18" s="69">
        <f t="shared" si="5"/>
        <v>1027</v>
      </c>
      <c r="P18" s="68"/>
      <c r="Q18" s="69"/>
      <c r="R18" s="69"/>
      <c r="S18" s="70">
        <f t="shared" si="6"/>
        <v>0</v>
      </c>
    </row>
    <row r="19" spans="1:19" ht="30" customHeight="1" x14ac:dyDescent="0.25">
      <c r="B19" s="2" t="s">
        <v>146</v>
      </c>
      <c r="C19" s="94" t="s">
        <v>325</v>
      </c>
      <c r="D19" s="94" t="s">
        <v>299</v>
      </c>
      <c r="E19" s="2" t="s">
        <v>324</v>
      </c>
      <c r="F19" s="2" t="s">
        <v>7</v>
      </c>
      <c r="G19" s="191">
        <v>2.9600000000000001E-2</v>
      </c>
      <c r="H19" s="191">
        <v>0.1744</v>
      </c>
      <c r="I19" s="192">
        <v>44408</v>
      </c>
      <c r="J19" s="192">
        <v>44423</v>
      </c>
      <c r="K19" s="192">
        <v>44013</v>
      </c>
      <c r="L19" s="193" t="s">
        <v>317</v>
      </c>
      <c r="M19" s="6">
        <v>302650</v>
      </c>
      <c r="N19" s="69"/>
      <c r="O19" s="69">
        <f t="shared" si="5"/>
        <v>302650</v>
      </c>
      <c r="P19" s="69"/>
      <c r="Q19" s="72">
        <f>29569.37+15779.96</f>
        <v>45349.33</v>
      </c>
      <c r="R19" s="69"/>
      <c r="S19" s="83">
        <f t="shared" si="6"/>
        <v>45349.33</v>
      </c>
    </row>
    <row r="20" spans="1:19" ht="30" customHeight="1" x14ac:dyDescent="0.25">
      <c r="B20" s="2" t="s">
        <v>327</v>
      </c>
      <c r="C20" s="243" t="s">
        <v>242</v>
      </c>
      <c r="D20" s="95" t="s">
        <v>328</v>
      </c>
      <c r="E20" s="2" t="s">
        <v>329</v>
      </c>
      <c r="F20" s="2" t="s">
        <v>7</v>
      </c>
      <c r="G20" s="191">
        <v>2.9600000000000001E-2</v>
      </c>
      <c r="H20" s="191">
        <v>0.1744</v>
      </c>
      <c r="I20" s="192">
        <v>44440</v>
      </c>
      <c r="J20" s="192">
        <v>44440</v>
      </c>
      <c r="K20" s="192">
        <v>44201</v>
      </c>
      <c r="L20" s="193" t="s">
        <v>330</v>
      </c>
      <c r="M20" s="81">
        <v>98190.71</v>
      </c>
      <c r="N20" s="69"/>
      <c r="O20" s="69">
        <f t="shared" si="5"/>
        <v>98190.71</v>
      </c>
      <c r="P20" s="68"/>
      <c r="Q20" s="69"/>
      <c r="R20" s="69"/>
      <c r="S20" s="70">
        <f t="shared" si="6"/>
        <v>0</v>
      </c>
    </row>
    <row r="21" spans="1:19" x14ac:dyDescent="0.25">
      <c r="C21" s="4"/>
      <c r="D21" s="4"/>
      <c r="G21" s="207"/>
      <c r="H21" s="191" t="s">
        <v>100</v>
      </c>
      <c r="I21" s="192"/>
      <c r="J21" s="192"/>
      <c r="K21" s="192"/>
      <c r="L21" s="210"/>
      <c r="M21" s="25"/>
      <c r="N21" s="25"/>
      <c r="O21" s="25"/>
      <c r="P21" s="29"/>
      <c r="Q21" s="25"/>
      <c r="R21" s="25"/>
      <c r="S21" s="26"/>
    </row>
    <row r="22" spans="1:19" ht="19.5" customHeight="1" x14ac:dyDescent="0.25">
      <c r="C22" s="4"/>
      <c r="D22" s="4"/>
      <c r="I22" s="119"/>
      <c r="J22" s="119"/>
      <c r="K22" s="119"/>
      <c r="L22" s="5" t="s">
        <v>38</v>
      </c>
      <c r="M22" s="68">
        <f>SUM(M7:M21)</f>
        <v>1117216.93</v>
      </c>
      <c r="N22" s="297">
        <f>SUM(N7:N21)</f>
        <v>-2023.34</v>
      </c>
      <c r="O22" s="68">
        <f>SUM(O7:O21)</f>
        <v>1115193.5900000001</v>
      </c>
      <c r="Q22" s="68">
        <f>SUM(Q7:Q21)</f>
        <v>362408.83</v>
      </c>
      <c r="R22" s="68">
        <f>SUM(R7:R21)</f>
        <v>0</v>
      </c>
      <c r="S22" s="70">
        <f>SUM(S7:S21)</f>
        <v>362408.83</v>
      </c>
    </row>
    <row r="23" spans="1:19" x14ac:dyDescent="0.25">
      <c r="C23" s="4"/>
      <c r="D23" s="4"/>
      <c r="I23" s="119"/>
      <c r="J23" s="119"/>
      <c r="K23" s="119"/>
      <c r="L23" s="5"/>
      <c r="M23" s="68"/>
      <c r="N23" s="68"/>
      <c r="O23" s="68"/>
      <c r="Q23" s="68"/>
      <c r="R23" s="68"/>
      <c r="S23" s="70"/>
    </row>
    <row r="24" spans="1:19" ht="28.5" customHeight="1" x14ac:dyDescent="0.25">
      <c r="B24" s="338" t="s">
        <v>126</v>
      </c>
      <c r="C24" s="338"/>
      <c r="D24" s="338"/>
      <c r="E24" s="338"/>
      <c r="F24" s="338"/>
      <c r="G24" s="120"/>
      <c r="H24" s="120"/>
      <c r="I24" s="114"/>
      <c r="L24" s="5"/>
      <c r="M24" s="68"/>
      <c r="N24" s="68"/>
      <c r="O24" s="68"/>
      <c r="Q24" s="68"/>
      <c r="R24" s="68"/>
      <c r="S24" s="70"/>
    </row>
    <row r="25" spans="1:19" x14ac:dyDescent="0.25">
      <c r="C25" s="94"/>
      <c r="D25" s="94"/>
      <c r="L25" s="5"/>
      <c r="M25" s="68"/>
      <c r="N25" s="68"/>
      <c r="O25" s="68"/>
      <c r="Q25" s="68"/>
      <c r="R25" s="68"/>
      <c r="S25" s="70"/>
    </row>
    <row r="26" spans="1:19" ht="46.5" customHeight="1" x14ac:dyDescent="0.25">
      <c r="B26" s="338" t="s">
        <v>129</v>
      </c>
      <c r="C26" s="338"/>
      <c r="D26" s="338"/>
      <c r="E26" s="338"/>
      <c r="F26" s="338"/>
      <c r="G26" s="120"/>
      <c r="H26" s="120"/>
      <c r="I26" s="114"/>
      <c r="L26" s="5"/>
      <c r="M26" s="68"/>
      <c r="N26" s="68"/>
      <c r="O26" s="68"/>
      <c r="Q26" s="68"/>
      <c r="R26" s="68"/>
      <c r="S26" s="70"/>
    </row>
    <row r="27" spans="1:19" x14ac:dyDescent="0.25">
      <c r="B27" s="111"/>
      <c r="C27" s="111"/>
      <c r="D27" s="111"/>
      <c r="E27" s="111"/>
      <c r="F27" s="111"/>
      <c r="G27" s="120"/>
      <c r="H27" s="120"/>
      <c r="I27" s="114"/>
      <c r="L27" s="5"/>
      <c r="M27" s="68"/>
      <c r="N27" s="68"/>
      <c r="O27" s="68"/>
      <c r="Q27" s="68"/>
      <c r="R27" s="68"/>
      <c r="S27" s="70"/>
    </row>
    <row r="28" spans="1:19" ht="30" customHeight="1" x14ac:dyDescent="0.25">
      <c r="B28" s="338" t="s">
        <v>160</v>
      </c>
      <c r="C28" s="338"/>
      <c r="D28" s="338"/>
      <c r="E28" s="338"/>
      <c r="F28" s="338"/>
      <c r="G28" s="198"/>
      <c r="H28" s="198"/>
      <c r="I28" s="198"/>
      <c r="L28" s="5"/>
      <c r="M28" s="68"/>
      <c r="N28" s="68"/>
      <c r="O28" s="68"/>
      <c r="Q28" s="68"/>
      <c r="R28" s="68"/>
      <c r="S28" s="70"/>
    </row>
    <row r="29" spans="1:19" ht="15" customHeight="1" x14ac:dyDescent="0.25">
      <c r="B29" s="346" t="s">
        <v>159</v>
      </c>
      <c r="C29" s="338"/>
      <c r="D29" s="338"/>
      <c r="E29" s="338"/>
      <c r="F29" s="338"/>
      <c r="G29" s="198"/>
      <c r="H29" s="198"/>
      <c r="I29" s="198"/>
      <c r="L29" s="5"/>
      <c r="M29" s="68"/>
      <c r="N29" s="68"/>
      <c r="O29" s="68"/>
      <c r="Q29" s="68"/>
      <c r="R29" s="68"/>
      <c r="S29" s="70"/>
    </row>
    <row r="30" spans="1:19" ht="15" customHeight="1" x14ac:dyDescent="0.25">
      <c r="A30" s="272"/>
      <c r="B30" s="272"/>
      <c r="C30" s="272"/>
      <c r="D30" s="272"/>
      <c r="E30" s="272"/>
      <c r="F30" s="272"/>
      <c r="G30" s="272"/>
      <c r="H30" s="200"/>
      <c r="I30" s="200"/>
      <c r="L30" s="5"/>
      <c r="M30" s="68"/>
      <c r="N30" s="68"/>
      <c r="O30" s="68"/>
      <c r="Q30" s="68"/>
      <c r="R30" s="68"/>
      <c r="S30" s="70"/>
    </row>
    <row r="31" spans="1:19" x14ac:dyDescent="0.25">
      <c r="B31" s="7" t="s">
        <v>109</v>
      </c>
      <c r="C31" s="104" t="s">
        <v>112</v>
      </c>
      <c r="D31" s="104" t="s">
        <v>113</v>
      </c>
      <c r="E31" s="111"/>
      <c r="F31" s="111"/>
      <c r="G31" s="120"/>
      <c r="H31" s="120"/>
      <c r="I31" s="114"/>
      <c r="L31" s="5"/>
      <c r="M31" s="68"/>
      <c r="N31" s="68"/>
      <c r="O31" s="68"/>
      <c r="Q31" s="68"/>
      <c r="R31" s="68"/>
      <c r="S31" s="70"/>
    </row>
    <row r="32" spans="1:19" x14ac:dyDescent="0.25">
      <c r="B32" s="2" t="s">
        <v>110</v>
      </c>
      <c r="C32" s="94" t="s">
        <v>116</v>
      </c>
      <c r="D32" s="94" t="s">
        <v>118</v>
      </c>
      <c r="L32" s="5"/>
      <c r="M32" s="68"/>
      <c r="N32" s="68"/>
      <c r="O32" s="68"/>
      <c r="Q32" s="68"/>
      <c r="R32" s="68"/>
      <c r="S32" s="70"/>
    </row>
    <row r="33" spans="2:20" x14ac:dyDescent="0.25">
      <c r="B33" s="2" t="s">
        <v>111</v>
      </c>
      <c r="C33" s="94" t="s">
        <v>114</v>
      </c>
      <c r="D33" s="94" t="s">
        <v>119</v>
      </c>
      <c r="L33" s="5"/>
      <c r="M33" s="68"/>
      <c r="N33" s="68"/>
      <c r="O33" s="68"/>
      <c r="Q33" s="68"/>
      <c r="R33" s="68"/>
      <c r="S33" s="70"/>
    </row>
    <row r="34" spans="2:20" x14ac:dyDescent="0.25">
      <c r="B34" s="2" t="s">
        <v>200</v>
      </c>
      <c r="C34" s="94" t="s">
        <v>135</v>
      </c>
      <c r="D34" s="94" t="s">
        <v>147</v>
      </c>
      <c r="L34" s="5"/>
      <c r="M34" s="68"/>
      <c r="N34" s="68"/>
      <c r="O34" s="68"/>
      <c r="Q34" s="68"/>
      <c r="R34" s="68"/>
      <c r="S34" s="70"/>
    </row>
    <row r="35" spans="2:20" x14ac:dyDescent="0.25">
      <c r="B35" s="2" t="s">
        <v>217</v>
      </c>
      <c r="C35" s="94" t="s">
        <v>135</v>
      </c>
      <c r="D35" s="94" t="s">
        <v>147</v>
      </c>
      <c r="L35" s="5"/>
      <c r="M35" s="68"/>
      <c r="N35" s="68"/>
      <c r="O35" s="68"/>
      <c r="Q35" s="68"/>
      <c r="R35" s="68"/>
      <c r="S35" s="70"/>
    </row>
    <row r="36" spans="2:20" x14ac:dyDescent="0.25">
      <c r="B36" s="2" t="s">
        <v>252</v>
      </c>
      <c r="C36" s="94" t="s">
        <v>135</v>
      </c>
      <c r="D36" s="94" t="s">
        <v>147</v>
      </c>
      <c r="L36" s="5"/>
      <c r="M36" s="68"/>
      <c r="N36" s="68"/>
      <c r="O36" s="68"/>
      <c r="Q36" s="68"/>
      <c r="R36" s="68"/>
      <c r="S36" s="70"/>
    </row>
    <row r="37" spans="2:20" x14ac:dyDescent="0.25">
      <c r="B37" s="2" t="s">
        <v>256</v>
      </c>
      <c r="C37" s="94" t="s">
        <v>135</v>
      </c>
      <c r="D37" s="94" t="s">
        <v>147</v>
      </c>
      <c r="L37" s="5"/>
      <c r="M37" s="68"/>
      <c r="N37" s="68"/>
      <c r="O37" s="68"/>
      <c r="Q37" s="68"/>
      <c r="R37" s="68"/>
      <c r="S37" s="70"/>
    </row>
    <row r="38" spans="2:20" x14ac:dyDescent="0.25">
      <c r="B38" s="2" t="s">
        <v>260</v>
      </c>
      <c r="C38" s="94" t="s">
        <v>135</v>
      </c>
      <c r="D38" s="94" t="s">
        <v>147</v>
      </c>
      <c r="L38" s="5"/>
      <c r="M38" s="68"/>
      <c r="N38" s="68"/>
      <c r="O38" s="68"/>
      <c r="Q38" s="68"/>
      <c r="R38" s="68"/>
      <c r="S38" s="70"/>
    </row>
    <row r="39" spans="2:20" x14ac:dyDescent="0.25">
      <c r="B39" s="2" t="s">
        <v>314</v>
      </c>
      <c r="C39" s="94" t="s">
        <v>135</v>
      </c>
      <c r="D39" s="94" t="s">
        <v>147</v>
      </c>
      <c r="L39" s="5"/>
      <c r="M39" s="68"/>
      <c r="N39" s="68"/>
      <c r="O39" s="68"/>
      <c r="Q39" s="68"/>
      <c r="R39" s="68"/>
      <c r="S39" s="70"/>
    </row>
    <row r="40" spans="2:20" x14ac:dyDescent="0.25">
      <c r="B40" s="2" t="s">
        <v>318</v>
      </c>
      <c r="C40" s="94" t="s">
        <v>135</v>
      </c>
      <c r="D40" s="94" t="s">
        <v>147</v>
      </c>
      <c r="L40" s="5"/>
      <c r="M40" s="68"/>
      <c r="N40" s="68"/>
      <c r="O40" s="68"/>
      <c r="Q40" s="68"/>
      <c r="R40" s="68"/>
      <c r="S40" s="70"/>
    </row>
    <row r="41" spans="2:20" x14ac:dyDescent="0.25">
      <c r="B41" s="2" t="s">
        <v>321</v>
      </c>
      <c r="C41" s="94" t="s">
        <v>135</v>
      </c>
      <c r="D41" s="94" t="s">
        <v>147</v>
      </c>
      <c r="L41" s="5"/>
      <c r="M41" s="68"/>
      <c r="N41" s="68"/>
      <c r="O41" s="68"/>
      <c r="Q41" s="68"/>
      <c r="R41" s="68"/>
      <c r="S41" s="70"/>
    </row>
    <row r="42" spans="2:20" x14ac:dyDescent="0.25">
      <c r="B42" s="2" t="s">
        <v>326</v>
      </c>
      <c r="C42" s="94" t="s">
        <v>135</v>
      </c>
      <c r="D42" s="94" t="s">
        <v>147</v>
      </c>
      <c r="L42" s="5"/>
      <c r="M42" s="68"/>
      <c r="N42" s="68"/>
      <c r="O42" s="68"/>
      <c r="Q42" s="68"/>
      <c r="R42" s="68"/>
      <c r="S42" s="70"/>
    </row>
    <row r="43" spans="2:20" x14ac:dyDescent="0.25">
      <c r="B43" s="269" t="s">
        <v>235</v>
      </c>
      <c r="C43" s="94"/>
      <c r="D43" s="94"/>
      <c r="L43" s="5"/>
      <c r="M43" s="68"/>
      <c r="N43" s="68"/>
      <c r="O43" s="68"/>
      <c r="Q43" s="68"/>
      <c r="R43" s="68"/>
      <c r="S43" s="70"/>
    </row>
    <row r="44" spans="2:20" x14ac:dyDescent="0.25">
      <c r="B44" s="333" t="s">
        <v>236</v>
      </c>
      <c r="C44" s="333"/>
      <c r="D44" s="333"/>
      <c r="E44" s="333"/>
      <c r="F44" s="333"/>
      <c r="G44" s="333"/>
      <c r="H44" s="333"/>
      <c r="L44" s="5"/>
      <c r="M44" s="68"/>
      <c r="N44" s="68"/>
      <c r="O44" s="68"/>
      <c r="Q44" s="68"/>
      <c r="R44" s="68"/>
      <c r="S44" s="70"/>
    </row>
    <row r="45" spans="2:20" ht="15" customHeight="1" x14ac:dyDescent="0.25">
      <c r="N45" s="112"/>
      <c r="O45" s="112"/>
      <c r="P45" s="112"/>
      <c r="Q45" s="171" t="s">
        <v>90</v>
      </c>
      <c r="R45" s="168"/>
      <c r="S45" s="169"/>
      <c r="T45" s="51"/>
    </row>
    <row r="46" spans="2:20" ht="15" customHeight="1" x14ac:dyDescent="0.25">
      <c r="B46" s="17" t="s">
        <v>39</v>
      </c>
      <c r="C46" s="98" t="s">
        <v>2</v>
      </c>
      <c r="D46" s="98"/>
      <c r="E46" s="98" t="s">
        <v>34</v>
      </c>
      <c r="F46" s="98" t="s">
        <v>35</v>
      </c>
      <c r="G46" s="123"/>
      <c r="H46" s="123"/>
      <c r="I46" s="117"/>
      <c r="J46" s="98"/>
      <c r="K46" s="98"/>
      <c r="L46" s="98" t="s">
        <v>36</v>
      </c>
      <c r="M46" s="98" t="s">
        <v>37</v>
      </c>
      <c r="N46" s="47"/>
      <c r="O46" s="47"/>
      <c r="P46" s="47"/>
      <c r="Q46" s="54" t="s">
        <v>88</v>
      </c>
      <c r="R46" s="52"/>
      <c r="S46" s="53"/>
      <c r="T46" s="51"/>
    </row>
    <row r="47" spans="2:20" x14ac:dyDescent="0.25">
      <c r="B47" s="65"/>
      <c r="C47" s="9"/>
      <c r="D47" s="9"/>
      <c r="E47" s="9"/>
      <c r="F47" s="9"/>
      <c r="G47" s="9"/>
      <c r="H47" s="9"/>
      <c r="I47" s="9"/>
      <c r="J47" s="9"/>
      <c r="K47" s="9"/>
      <c r="L47" s="9"/>
      <c r="M47" s="9"/>
      <c r="N47" s="45"/>
      <c r="O47" s="45"/>
      <c r="P47" s="45"/>
      <c r="Q47" s="59"/>
      <c r="R47" s="50"/>
      <c r="S47" s="50"/>
      <c r="T47" s="51"/>
    </row>
    <row r="48" spans="2:20" x14ac:dyDescent="0.25">
      <c r="B48" s="65"/>
      <c r="C48" s="9"/>
      <c r="D48" s="9"/>
      <c r="E48" s="9"/>
      <c r="F48" s="9"/>
      <c r="G48" s="9"/>
      <c r="H48" s="9"/>
      <c r="I48" s="9"/>
      <c r="J48" s="9"/>
      <c r="K48" s="9"/>
      <c r="L48" s="9"/>
      <c r="M48" s="9"/>
      <c r="N48" s="45"/>
      <c r="O48" s="45"/>
      <c r="P48" s="45"/>
      <c r="R48" s="51"/>
      <c r="S48" s="51"/>
      <c r="T48" s="51"/>
    </row>
    <row r="49" spans="2:20" x14ac:dyDescent="0.25">
      <c r="B49" s="12"/>
      <c r="C49" s="13"/>
      <c r="D49" s="13"/>
      <c r="E49" s="41"/>
      <c r="F49" s="15"/>
      <c r="G49" s="15"/>
      <c r="H49" s="15"/>
      <c r="I49" s="15"/>
      <c r="J49" s="15"/>
      <c r="K49" s="15"/>
      <c r="L49" s="16"/>
      <c r="M49" s="31"/>
      <c r="Q49" s="51"/>
      <c r="R49" s="51"/>
      <c r="S49" s="51"/>
      <c r="T49" s="51"/>
    </row>
    <row r="50" spans="2:20" x14ac:dyDescent="0.25">
      <c r="B50" s="12"/>
      <c r="C50" s="13"/>
      <c r="D50" s="13"/>
      <c r="E50" s="41"/>
      <c r="F50" s="15"/>
      <c r="G50" s="15"/>
      <c r="H50" s="15"/>
      <c r="I50" s="15"/>
      <c r="J50" s="15"/>
      <c r="K50" s="15"/>
      <c r="L50" s="16"/>
      <c r="M50" s="31"/>
      <c r="Q50" s="325" t="s">
        <v>343</v>
      </c>
      <c r="R50" s="325"/>
      <c r="S50" s="327">
        <f>S22</f>
        <v>362408.83</v>
      </c>
      <c r="T50" s="51"/>
    </row>
    <row r="51" spans="2:20" x14ac:dyDescent="0.25">
      <c r="B51" s="12"/>
      <c r="C51" s="13"/>
      <c r="D51" s="13"/>
      <c r="E51" s="41"/>
      <c r="F51" s="15"/>
      <c r="G51" s="15"/>
      <c r="H51" s="15"/>
      <c r="I51" s="15"/>
      <c r="J51" s="15"/>
      <c r="K51" s="15"/>
      <c r="L51" s="16"/>
      <c r="M51" s="31"/>
      <c r="Q51" s="51"/>
      <c r="R51" s="51"/>
      <c r="S51" s="51"/>
      <c r="T51" s="51"/>
    </row>
    <row r="52" spans="2:20" x14ac:dyDescent="0.25">
      <c r="B52" s="12"/>
      <c r="C52" s="13"/>
      <c r="D52" s="13"/>
      <c r="E52" s="41"/>
      <c r="F52" s="15"/>
      <c r="G52" s="15"/>
      <c r="H52" s="15"/>
      <c r="I52" s="15"/>
      <c r="J52" s="15"/>
      <c r="K52" s="15"/>
      <c r="L52" s="16"/>
      <c r="M52" s="31"/>
    </row>
    <row r="53" spans="2:20" x14ac:dyDescent="0.25">
      <c r="B53" s="12"/>
      <c r="C53" s="13"/>
      <c r="D53" s="13"/>
      <c r="E53" s="14"/>
      <c r="F53" s="15"/>
      <c r="G53" s="15"/>
      <c r="H53" s="15"/>
      <c r="I53" s="15"/>
      <c r="J53" s="15"/>
      <c r="K53" s="15"/>
      <c r="L53" s="16"/>
      <c r="M53" s="31"/>
      <c r="N53" s="18"/>
      <c r="O53" s="18"/>
      <c r="P53" s="18"/>
    </row>
  </sheetData>
  <mergeCells count="7">
    <mergeCell ref="B44:H44"/>
    <mergeCell ref="B29:F29"/>
    <mergeCell ref="Q2:S2"/>
    <mergeCell ref="Q1:S1"/>
    <mergeCell ref="B24:F24"/>
    <mergeCell ref="B26:F26"/>
    <mergeCell ref="B28:F28"/>
  </mergeCells>
  <hyperlinks>
    <hyperlink ref="B29" r:id="rId1"/>
  </hyperlinks>
  <printOptions horizontalCentered="1" gridLines="1"/>
  <pageMargins left="0" right="0" top="0.75" bottom="0.75" header="0.3" footer="0.3"/>
  <pageSetup scale="51" orientation="landscape" horizontalDpi="1200" verticalDpi="1200"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2"/>
  <sheetViews>
    <sheetView topLeftCell="F25" zoomScale="120" zoomScaleNormal="120" workbookViewId="0">
      <selection activeCell="S50" sqref="S50"/>
    </sheetView>
  </sheetViews>
  <sheetFormatPr defaultColWidth="9.140625" defaultRowHeight="15" x14ac:dyDescent="0.25"/>
  <cols>
    <col min="1" max="1" width="9.140625" style="2" hidden="1" customWidth="1"/>
    <col min="2" max="2" width="57.85546875" style="2" customWidth="1"/>
    <col min="3" max="3" width="26" style="2" customWidth="1"/>
    <col min="4" max="4" width="13.7109375" style="2" customWidth="1"/>
    <col min="5" max="5" width="17.42578125" style="2" customWidth="1"/>
    <col min="6" max="6" width="21.140625" style="2" customWidth="1"/>
    <col min="7" max="7" width="10.28515625" style="2" customWidth="1"/>
    <col min="8" max="8" width="12.85546875" style="2" customWidth="1"/>
    <col min="9" max="9" width="13.42578125" style="2" customWidth="1"/>
    <col min="10" max="10" width="15.7109375" style="2" customWidth="1"/>
    <col min="11" max="11" width="8.85546875" style="2" customWidth="1"/>
    <col min="12" max="12" width="18.285156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6.7109375" style="2" customWidth="1"/>
    <col min="20" max="16384" width="9.140625" style="2"/>
  </cols>
  <sheetData>
    <row r="1" spans="1:20" ht="18" customHeight="1" x14ac:dyDescent="0.25">
      <c r="A1" s="2" t="s">
        <v>342</v>
      </c>
      <c r="B1" s="8" t="s">
        <v>169</v>
      </c>
      <c r="Q1" s="335" t="s">
        <v>230</v>
      </c>
      <c r="R1" s="335"/>
      <c r="S1" s="335"/>
    </row>
    <row r="2" spans="1:20" ht="18" customHeight="1" x14ac:dyDescent="0.25">
      <c r="B2" s="90" t="s">
        <v>148</v>
      </c>
      <c r="C2" s="187">
        <v>44377</v>
      </c>
      <c r="M2" s="73"/>
      <c r="N2" s="73"/>
      <c r="P2" s="29"/>
      <c r="Q2" s="334" t="s">
        <v>338</v>
      </c>
      <c r="R2" s="334"/>
      <c r="S2" s="334"/>
    </row>
    <row r="3" spans="1:20" ht="18" customHeight="1" thickBot="1" x14ac:dyDescent="0.3">
      <c r="A3" s="2" t="s">
        <v>16</v>
      </c>
      <c r="B3" s="44" t="s">
        <v>51</v>
      </c>
      <c r="C3" s="8"/>
      <c r="D3" s="8"/>
      <c r="E3" s="8"/>
      <c r="P3" s="29"/>
      <c r="Q3" s="45"/>
      <c r="R3" s="30"/>
    </row>
    <row r="4" spans="1:20" ht="18.75" customHeight="1" x14ac:dyDescent="0.25">
      <c r="B4" s="8" t="s">
        <v>174</v>
      </c>
      <c r="M4" s="87" t="s">
        <v>28</v>
      </c>
      <c r="N4" s="87" t="s">
        <v>28</v>
      </c>
      <c r="O4" s="87" t="s">
        <v>28</v>
      </c>
      <c r="P4" s="9"/>
      <c r="Q4" s="91" t="s">
        <v>29</v>
      </c>
      <c r="R4" s="91" t="s">
        <v>31</v>
      </c>
      <c r="S4" s="91" t="s">
        <v>23</v>
      </c>
      <c r="T4" s="7"/>
    </row>
    <row r="5" spans="1:20" ht="15.75" thickBot="1" x14ac:dyDescent="0.3">
      <c r="G5" s="188" t="s">
        <v>231</v>
      </c>
      <c r="H5" s="188" t="s">
        <v>231</v>
      </c>
      <c r="M5" s="88" t="s">
        <v>27</v>
      </c>
      <c r="N5" s="88" t="s">
        <v>26</v>
      </c>
      <c r="O5" s="88" t="s">
        <v>25</v>
      </c>
      <c r="P5" s="9"/>
      <c r="Q5" s="92" t="s">
        <v>30</v>
      </c>
      <c r="R5" s="92" t="s">
        <v>30</v>
      </c>
      <c r="S5" s="92" t="s">
        <v>30</v>
      </c>
      <c r="T5" s="7"/>
    </row>
    <row r="6" spans="1:20" ht="85.5" customHeight="1" thickBot="1" x14ac:dyDescent="0.3">
      <c r="B6" s="86" t="s">
        <v>1</v>
      </c>
      <c r="C6" s="86" t="s">
        <v>127</v>
      </c>
      <c r="D6" s="86" t="s">
        <v>107</v>
      </c>
      <c r="E6" s="86" t="s">
        <v>3</v>
      </c>
      <c r="F6" s="86" t="s">
        <v>4</v>
      </c>
      <c r="G6" s="110" t="s">
        <v>136</v>
      </c>
      <c r="H6" s="110" t="s">
        <v>137</v>
      </c>
      <c r="I6" s="110" t="s">
        <v>133</v>
      </c>
      <c r="J6" s="110" t="s">
        <v>134</v>
      </c>
      <c r="K6" s="110" t="s">
        <v>121</v>
      </c>
      <c r="L6" s="85" t="s">
        <v>5</v>
      </c>
      <c r="M6" s="89" t="s">
        <v>6</v>
      </c>
      <c r="N6" s="89" t="s">
        <v>6</v>
      </c>
      <c r="O6" s="89" t="s">
        <v>6</v>
      </c>
      <c r="P6" s="9"/>
      <c r="Q6" s="93"/>
      <c r="R6" s="99" t="s">
        <v>32</v>
      </c>
      <c r="S6" s="100" t="s">
        <v>33</v>
      </c>
    </row>
    <row r="7" spans="1:20" ht="26.25" customHeight="1" x14ac:dyDescent="0.25">
      <c r="B7" s="2" t="s">
        <v>8</v>
      </c>
      <c r="C7" s="94" t="s">
        <v>106</v>
      </c>
      <c r="D7" s="94" t="s">
        <v>246</v>
      </c>
      <c r="E7" s="2" t="s">
        <v>232</v>
      </c>
      <c r="F7" s="2" t="s">
        <v>7</v>
      </c>
      <c r="G7" s="191">
        <v>2.9600000000000001E-2</v>
      </c>
      <c r="H7" s="191">
        <v>0.1744</v>
      </c>
      <c r="I7" s="192">
        <v>44377</v>
      </c>
      <c r="J7" s="192">
        <v>44378</v>
      </c>
      <c r="K7" s="192">
        <v>44013</v>
      </c>
      <c r="L7" s="193" t="s">
        <v>234</v>
      </c>
      <c r="M7" s="66">
        <v>70128.539999999994</v>
      </c>
      <c r="N7" s="68">
        <f>70208.04-M7</f>
        <v>79.5</v>
      </c>
      <c r="O7" s="68">
        <f>SUM(M7:N7)</f>
        <v>70208.039999999994</v>
      </c>
      <c r="P7" s="68"/>
      <c r="Q7" s="68">
        <f>12909.82+16209.8+24454.74</f>
        <v>53574.36</v>
      </c>
      <c r="R7" s="68"/>
      <c r="S7" s="70">
        <f t="shared" ref="S7:S13" si="0">Q7+R7</f>
        <v>53574.36</v>
      </c>
    </row>
    <row r="8" spans="1:20" ht="32.25" hidden="1" customHeight="1" x14ac:dyDescent="0.25">
      <c r="B8" s="2" t="s">
        <v>138</v>
      </c>
      <c r="C8" s="97" t="s">
        <v>187</v>
      </c>
      <c r="D8" s="95" t="s">
        <v>173</v>
      </c>
      <c r="E8" s="2" t="s">
        <v>233</v>
      </c>
      <c r="F8" s="2" t="s">
        <v>7</v>
      </c>
      <c r="G8" s="191">
        <f>G7</f>
        <v>2.9600000000000001E-2</v>
      </c>
      <c r="H8" s="191">
        <f>H7</f>
        <v>0.1744</v>
      </c>
      <c r="I8" s="192">
        <f>I7</f>
        <v>44377</v>
      </c>
      <c r="J8" s="192">
        <f>J7</f>
        <v>44378</v>
      </c>
      <c r="K8" s="192">
        <v>43282</v>
      </c>
      <c r="L8" s="193" t="str">
        <f>L7</f>
        <v>07/01/20 - 06/30/21</v>
      </c>
      <c r="M8" s="66"/>
      <c r="N8" s="68">
        <v>0</v>
      </c>
      <c r="O8" s="68">
        <f>SUM(M8:N8)</f>
        <v>0</v>
      </c>
      <c r="P8" s="68"/>
      <c r="Q8" s="68"/>
      <c r="R8" s="68"/>
      <c r="S8" s="70">
        <f t="shared" si="0"/>
        <v>0</v>
      </c>
    </row>
    <row r="9" spans="1:20" ht="30" hidden="1" x14ac:dyDescent="0.25">
      <c r="B9" s="2" t="s">
        <v>128</v>
      </c>
      <c r="C9" s="231" t="s">
        <v>183</v>
      </c>
      <c r="D9" s="95" t="s">
        <v>171</v>
      </c>
      <c r="E9" s="2" t="s">
        <v>156</v>
      </c>
      <c r="F9" s="2" t="s">
        <v>7</v>
      </c>
      <c r="G9" s="191">
        <f>+G8</f>
        <v>2.9600000000000001E-2</v>
      </c>
      <c r="H9" s="191">
        <f t="shared" ref="H9" si="1">+H8</f>
        <v>0.1744</v>
      </c>
      <c r="I9" s="192">
        <f>+I8</f>
        <v>44377</v>
      </c>
      <c r="J9" s="192">
        <f>+J8</f>
        <v>44378</v>
      </c>
      <c r="K9" s="192">
        <f>+K8</f>
        <v>43282</v>
      </c>
      <c r="L9" s="209" t="str">
        <f>+L8</f>
        <v>07/01/20 - 06/30/21</v>
      </c>
      <c r="M9" s="66"/>
      <c r="N9" s="68"/>
      <c r="O9" s="68">
        <f>M9+N9</f>
        <v>0</v>
      </c>
      <c r="P9" s="68"/>
      <c r="Q9" s="68"/>
      <c r="R9" s="68">
        <v>0</v>
      </c>
      <c r="S9" s="70">
        <f t="shared" si="0"/>
        <v>0</v>
      </c>
    </row>
    <row r="10" spans="1:20" ht="28.5" customHeight="1" x14ac:dyDescent="0.25">
      <c r="B10" s="2" t="s">
        <v>241</v>
      </c>
      <c r="C10" s="243" t="s">
        <v>242</v>
      </c>
      <c r="D10" s="95" t="s">
        <v>243</v>
      </c>
      <c r="E10" s="2" t="s">
        <v>244</v>
      </c>
      <c r="F10" s="2" t="s">
        <v>7</v>
      </c>
      <c r="G10" s="191">
        <f t="shared" ref="G10:H11" si="2">+G9</f>
        <v>2.9600000000000001E-2</v>
      </c>
      <c r="H10" s="191">
        <f t="shared" si="2"/>
        <v>0.1744</v>
      </c>
      <c r="I10" s="192">
        <v>44834</v>
      </c>
      <c r="J10" s="192">
        <v>44849</v>
      </c>
      <c r="K10" s="192">
        <v>43614</v>
      </c>
      <c r="L10" s="193" t="s">
        <v>311</v>
      </c>
      <c r="M10" s="66">
        <v>35306.29</v>
      </c>
      <c r="N10" s="68"/>
      <c r="O10" s="68">
        <f>SUM(M10:N10)</f>
        <v>35306.29</v>
      </c>
      <c r="P10" s="68"/>
      <c r="Q10" s="68"/>
      <c r="R10" s="68"/>
      <c r="S10" s="70">
        <f t="shared" si="0"/>
        <v>0</v>
      </c>
    </row>
    <row r="11" spans="1:20" ht="28.5" customHeight="1" x14ac:dyDescent="0.25">
      <c r="B11" s="2" t="s">
        <v>283</v>
      </c>
      <c r="C11" s="243" t="s">
        <v>264</v>
      </c>
      <c r="D11" s="95" t="s">
        <v>254</v>
      </c>
      <c r="E11" s="2" t="s">
        <v>284</v>
      </c>
      <c r="F11" s="2" t="s">
        <v>7</v>
      </c>
      <c r="G11" s="191">
        <f t="shared" si="2"/>
        <v>2.9600000000000001E-2</v>
      </c>
      <c r="H11" s="191">
        <f t="shared" si="2"/>
        <v>0.1744</v>
      </c>
      <c r="I11" s="192">
        <v>44377</v>
      </c>
      <c r="J11" s="192">
        <v>44392</v>
      </c>
      <c r="K11" s="192">
        <v>43613</v>
      </c>
      <c r="L11" s="193" t="s">
        <v>234</v>
      </c>
      <c r="M11" s="81">
        <v>7302.48</v>
      </c>
      <c r="N11" s="69"/>
      <c r="O11" s="69">
        <f>M11+N11</f>
        <v>7302.48</v>
      </c>
      <c r="P11" s="69"/>
      <c r="Q11" s="69"/>
      <c r="R11" s="69"/>
      <c r="S11" s="70">
        <f t="shared" si="0"/>
        <v>0</v>
      </c>
    </row>
    <row r="12" spans="1:20" ht="28.5" customHeight="1" x14ac:dyDescent="0.25">
      <c r="B12" s="2" t="s">
        <v>268</v>
      </c>
      <c r="C12" s="243" t="s">
        <v>269</v>
      </c>
      <c r="D12" s="95" t="s">
        <v>164</v>
      </c>
      <c r="E12" s="2" t="s">
        <v>279</v>
      </c>
      <c r="F12" s="2" t="s">
        <v>7</v>
      </c>
      <c r="G12" s="191">
        <f t="shared" ref="G12:H14" si="3">+G10</f>
        <v>2.9600000000000001E-2</v>
      </c>
      <c r="H12" s="191">
        <f t="shared" si="3"/>
        <v>0.1744</v>
      </c>
      <c r="I12" s="192">
        <v>44393</v>
      </c>
      <c r="J12" s="192">
        <v>44408</v>
      </c>
      <c r="K12" s="192">
        <v>42644</v>
      </c>
      <c r="L12" s="193" t="s">
        <v>310</v>
      </c>
      <c r="M12" s="81">
        <v>107390</v>
      </c>
      <c r="N12" s="69"/>
      <c r="O12" s="69">
        <f>M12+N12</f>
        <v>107390</v>
      </c>
      <c r="P12" s="69"/>
      <c r="Q12" s="69">
        <f>22957.91</f>
        <v>22957.91</v>
      </c>
      <c r="R12" s="69"/>
      <c r="S12" s="70">
        <f t="shared" si="0"/>
        <v>22957.91</v>
      </c>
    </row>
    <row r="13" spans="1:20" ht="28.5" customHeight="1" x14ac:dyDescent="0.25">
      <c r="B13" s="2" t="s">
        <v>305</v>
      </c>
      <c r="C13" s="243" t="s">
        <v>306</v>
      </c>
      <c r="D13" s="95" t="s">
        <v>307</v>
      </c>
      <c r="E13" s="2" t="s">
        <v>308</v>
      </c>
      <c r="F13" s="2" t="s">
        <v>7</v>
      </c>
      <c r="G13" s="191">
        <f t="shared" si="3"/>
        <v>2.9600000000000001E-2</v>
      </c>
      <c r="H13" s="191">
        <f t="shared" si="3"/>
        <v>0.1744</v>
      </c>
      <c r="I13" s="192">
        <v>44408</v>
      </c>
      <c r="J13" s="192">
        <v>44423</v>
      </c>
      <c r="K13" s="192">
        <v>42186</v>
      </c>
      <c r="L13" s="193" t="s">
        <v>309</v>
      </c>
      <c r="M13" s="81">
        <v>9650</v>
      </c>
      <c r="N13" s="69"/>
      <c r="O13" s="69">
        <f>M13+N13</f>
        <v>9650</v>
      </c>
      <c r="P13" s="69"/>
      <c r="Q13" s="69"/>
      <c r="R13" s="69"/>
      <c r="S13" s="70">
        <f t="shared" si="0"/>
        <v>0</v>
      </c>
    </row>
    <row r="14" spans="1:20" ht="28.5" customHeight="1" x14ac:dyDescent="0.25">
      <c r="B14" s="2" t="s">
        <v>314</v>
      </c>
      <c r="C14" s="243" t="s">
        <v>242</v>
      </c>
      <c r="D14" s="95" t="s">
        <v>243</v>
      </c>
      <c r="E14" s="2" t="s">
        <v>315</v>
      </c>
      <c r="F14" s="2" t="s">
        <v>7</v>
      </c>
      <c r="G14" s="191">
        <f t="shared" si="3"/>
        <v>2.9600000000000001E-2</v>
      </c>
      <c r="H14" s="191">
        <f t="shared" si="3"/>
        <v>0.1744</v>
      </c>
      <c r="I14" s="192">
        <v>44773</v>
      </c>
      <c r="J14" s="192">
        <v>44788</v>
      </c>
      <c r="K14" s="192">
        <v>43980</v>
      </c>
      <c r="L14" s="193" t="s">
        <v>316</v>
      </c>
      <c r="M14" s="81">
        <v>1699.56</v>
      </c>
      <c r="N14" s="72"/>
      <c r="O14" s="69">
        <f>M14+N14</f>
        <v>1699.56</v>
      </c>
      <c r="P14" s="69"/>
      <c r="Q14" s="69"/>
      <c r="R14" s="69"/>
      <c r="S14" s="70">
        <f>Q14+R14</f>
        <v>0</v>
      </c>
    </row>
    <row r="15" spans="1:20" ht="24.75" customHeight="1" x14ac:dyDescent="0.25">
      <c r="B15" s="2" t="s">
        <v>318</v>
      </c>
      <c r="C15" s="243" t="s">
        <v>242</v>
      </c>
      <c r="D15" s="95" t="s">
        <v>243</v>
      </c>
      <c r="E15" s="2" t="s">
        <v>319</v>
      </c>
      <c r="F15" s="2" t="s">
        <v>7</v>
      </c>
      <c r="G15" s="191">
        <v>2.9600000000000001E-2</v>
      </c>
      <c r="H15" s="191">
        <v>0.1744</v>
      </c>
      <c r="I15" s="192">
        <v>44561</v>
      </c>
      <c r="J15" s="192">
        <v>44576</v>
      </c>
      <c r="K15" s="192">
        <v>43980</v>
      </c>
      <c r="L15" s="193" t="s">
        <v>320</v>
      </c>
      <c r="M15" s="81">
        <v>3000</v>
      </c>
      <c r="N15" s="69"/>
      <c r="O15" s="69">
        <f t="shared" ref="O15:O17" si="4">M15+N15</f>
        <v>3000</v>
      </c>
      <c r="P15" s="68"/>
      <c r="Q15" s="69"/>
      <c r="R15" s="69"/>
      <c r="S15" s="70">
        <f t="shared" ref="S15:S17" si="5">Q15+R15</f>
        <v>0</v>
      </c>
    </row>
    <row r="16" spans="1:20" ht="27.75" customHeight="1" x14ac:dyDescent="0.25">
      <c r="B16" s="2" t="s">
        <v>321</v>
      </c>
      <c r="C16" s="243" t="s">
        <v>264</v>
      </c>
      <c r="D16" s="95" t="s">
        <v>254</v>
      </c>
      <c r="E16" s="2" t="s">
        <v>322</v>
      </c>
      <c r="F16" s="2" t="s">
        <v>7</v>
      </c>
      <c r="G16" s="191">
        <v>2.9600000000000001E-2</v>
      </c>
      <c r="H16" s="191">
        <v>0.1744</v>
      </c>
      <c r="I16" s="192">
        <v>44742</v>
      </c>
      <c r="J16" s="192">
        <v>44757</v>
      </c>
      <c r="K16" s="192">
        <v>43979</v>
      </c>
      <c r="L16" s="193" t="s">
        <v>323</v>
      </c>
      <c r="M16" s="81">
        <v>1027</v>
      </c>
      <c r="N16" s="69"/>
      <c r="O16" s="69">
        <f t="shared" si="4"/>
        <v>1027</v>
      </c>
      <c r="P16" s="68"/>
      <c r="Q16" s="69"/>
      <c r="R16" s="69"/>
      <c r="S16" s="70">
        <f t="shared" si="5"/>
        <v>0</v>
      </c>
    </row>
    <row r="17" spans="2:19" ht="27.75" customHeight="1" x14ac:dyDescent="0.25">
      <c r="B17" s="2" t="s">
        <v>327</v>
      </c>
      <c r="C17" s="243" t="s">
        <v>242</v>
      </c>
      <c r="D17" s="95" t="s">
        <v>328</v>
      </c>
      <c r="E17" s="2" t="s">
        <v>329</v>
      </c>
      <c r="F17" s="2" t="s">
        <v>7</v>
      </c>
      <c r="G17" s="191">
        <v>2.9600000000000001E-2</v>
      </c>
      <c r="H17" s="191">
        <v>0.1744</v>
      </c>
      <c r="I17" s="192">
        <v>44440</v>
      </c>
      <c r="J17" s="192">
        <v>44440</v>
      </c>
      <c r="K17" s="192">
        <v>44201</v>
      </c>
      <c r="L17" s="193" t="s">
        <v>330</v>
      </c>
      <c r="M17" s="81">
        <v>75322.039999999994</v>
      </c>
      <c r="N17" s="69"/>
      <c r="O17" s="69">
        <f t="shared" si="4"/>
        <v>75322.039999999994</v>
      </c>
      <c r="P17" s="68"/>
      <c r="Q17" s="69"/>
      <c r="R17" s="69"/>
      <c r="S17" s="70">
        <f t="shared" si="5"/>
        <v>0</v>
      </c>
    </row>
    <row r="18" spans="2:19" ht="14.25" customHeight="1" x14ac:dyDescent="0.25">
      <c r="C18" s="243"/>
      <c r="D18" s="95"/>
      <c r="G18" s="191"/>
      <c r="H18" s="191"/>
      <c r="I18" s="192"/>
      <c r="J18" s="192"/>
      <c r="K18" s="192"/>
      <c r="L18" s="193"/>
      <c r="M18" s="81"/>
      <c r="N18" s="69"/>
      <c r="O18" s="69"/>
      <c r="P18" s="68"/>
      <c r="Q18" s="69"/>
      <c r="R18" s="69"/>
      <c r="S18" s="70"/>
    </row>
    <row r="19" spans="2:19" ht="21.75" customHeight="1" x14ac:dyDescent="0.25">
      <c r="C19" s="95"/>
      <c r="D19" s="95"/>
      <c r="G19" s="126"/>
      <c r="H19" s="126"/>
      <c r="I19" s="119"/>
      <c r="J19" s="119"/>
      <c r="K19" s="119"/>
      <c r="L19" s="21" t="s">
        <v>38</v>
      </c>
      <c r="M19" s="284">
        <f>SUM(M7:M18)</f>
        <v>310825.90999999997</v>
      </c>
      <c r="N19" s="284">
        <f>SUM(N7:N18)</f>
        <v>79.5</v>
      </c>
      <c r="O19" s="284">
        <f>SUM(O7:O18)</f>
        <v>310905.40999999997</v>
      </c>
      <c r="P19" s="68"/>
      <c r="Q19" s="284">
        <f>SUM(Q7:Q18)</f>
        <v>76532.27</v>
      </c>
      <c r="R19" s="284">
        <f>SUM(R7:R18)</f>
        <v>0</v>
      </c>
      <c r="S19" s="23">
        <f>SUM(S7:S18)</f>
        <v>76532.27</v>
      </c>
    </row>
    <row r="20" spans="2:19" x14ac:dyDescent="0.25">
      <c r="C20" s="95"/>
      <c r="D20" s="95"/>
      <c r="I20" s="119"/>
      <c r="J20" s="119"/>
      <c r="K20" s="119"/>
      <c r="S20" s="27"/>
    </row>
    <row r="21" spans="2:19" x14ac:dyDescent="0.25">
      <c r="B21" s="8" t="s">
        <v>125</v>
      </c>
      <c r="C21" s="94"/>
      <c r="D21" s="94"/>
      <c r="S21" s="27"/>
    </row>
    <row r="22" spans="2:19" ht="32.25" customHeight="1" x14ac:dyDescent="0.25">
      <c r="B22" s="338" t="s">
        <v>126</v>
      </c>
      <c r="C22" s="338"/>
      <c r="D22" s="338"/>
      <c r="E22" s="338"/>
      <c r="F22" s="338"/>
      <c r="G22" s="120"/>
      <c r="H22" s="120"/>
      <c r="I22" s="114"/>
      <c r="S22" s="27"/>
    </row>
    <row r="23" spans="2:19" x14ac:dyDescent="0.25">
      <c r="C23" s="94"/>
      <c r="D23" s="94"/>
      <c r="S23" s="27"/>
    </row>
    <row r="24" spans="2:19" ht="46.5" customHeight="1" x14ac:dyDescent="0.25">
      <c r="B24" s="338" t="s">
        <v>129</v>
      </c>
      <c r="C24" s="338"/>
      <c r="D24" s="338"/>
      <c r="E24" s="338"/>
      <c r="F24" s="338"/>
      <c r="G24" s="120"/>
      <c r="H24" s="120"/>
      <c r="I24" s="114"/>
      <c r="S24" s="27"/>
    </row>
    <row r="25" spans="2:19" x14ac:dyDescent="0.25">
      <c r="B25" s="198"/>
      <c r="C25" s="198"/>
      <c r="D25" s="198"/>
      <c r="E25" s="198"/>
      <c r="F25" s="198"/>
      <c r="G25" s="198"/>
      <c r="H25" s="198"/>
      <c r="I25" s="198"/>
      <c r="S25" s="27"/>
    </row>
    <row r="26" spans="2:19" ht="30" customHeight="1" x14ac:dyDescent="0.25">
      <c r="B26" s="338" t="s">
        <v>160</v>
      </c>
      <c r="C26" s="338"/>
      <c r="D26" s="338"/>
      <c r="E26" s="338"/>
      <c r="F26" s="338"/>
      <c r="G26" s="198"/>
      <c r="H26" s="198"/>
      <c r="I26" s="198"/>
      <c r="S26" s="27"/>
    </row>
    <row r="27" spans="2:19" ht="15" customHeight="1" x14ac:dyDescent="0.25">
      <c r="B27" s="346" t="s">
        <v>159</v>
      </c>
      <c r="C27" s="338"/>
      <c r="D27" s="338"/>
      <c r="E27" s="338"/>
      <c r="F27" s="338"/>
      <c r="G27" s="198"/>
      <c r="H27" s="198"/>
      <c r="I27" s="198"/>
      <c r="S27" s="27"/>
    </row>
    <row r="28" spans="2:19" ht="15" customHeight="1" x14ac:dyDescent="0.25">
      <c r="B28" s="200"/>
      <c r="C28" s="200"/>
      <c r="D28" s="200"/>
      <c r="E28" s="200"/>
      <c r="F28" s="200"/>
      <c r="G28" s="200"/>
      <c r="H28" s="200"/>
      <c r="I28" s="200"/>
      <c r="S28" s="27"/>
    </row>
    <row r="29" spans="2:19" x14ac:dyDescent="0.25">
      <c r="B29" s="111"/>
      <c r="C29" s="111"/>
      <c r="D29" s="111"/>
      <c r="E29" s="111"/>
      <c r="F29" s="111"/>
      <c r="G29" s="120"/>
      <c r="H29" s="120"/>
      <c r="I29" s="114"/>
      <c r="S29" s="27"/>
    </row>
    <row r="30" spans="2:19" x14ac:dyDescent="0.25">
      <c r="B30" s="7" t="s">
        <v>109</v>
      </c>
      <c r="C30" s="104" t="s">
        <v>112</v>
      </c>
      <c r="D30" s="104" t="s">
        <v>113</v>
      </c>
      <c r="E30" s="111"/>
      <c r="F30" s="111"/>
      <c r="G30" s="120"/>
      <c r="H30" s="120"/>
      <c r="I30" s="114"/>
      <c r="S30" s="27"/>
    </row>
    <row r="31" spans="2:19" x14ac:dyDescent="0.25">
      <c r="B31" s="2" t="s">
        <v>110</v>
      </c>
      <c r="C31" s="94" t="s">
        <v>116</v>
      </c>
      <c r="D31" s="94" t="s">
        <v>118</v>
      </c>
      <c r="E31" s="229"/>
      <c r="F31" s="229"/>
      <c r="G31" s="229"/>
      <c r="H31" s="229"/>
      <c r="I31" s="229"/>
      <c r="S31" s="27"/>
    </row>
    <row r="32" spans="2:19" x14ac:dyDescent="0.25">
      <c r="B32" s="2" t="s">
        <v>252</v>
      </c>
      <c r="C32" s="94" t="s">
        <v>135</v>
      </c>
      <c r="D32" s="94" t="s">
        <v>147</v>
      </c>
      <c r="S32" s="27"/>
    </row>
    <row r="33" spans="2:20" x14ac:dyDescent="0.25">
      <c r="B33" s="2" t="s">
        <v>260</v>
      </c>
      <c r="C33" s="94" t="s">
        <v>135</v>
      </c>
      <c r="D33" s="94" t="s">
        <v>147</v>
      </c>
      <c r="S33" s="27"/>
    </row>
    <row r="34" spans="2:20" x14ac:dyDescent="0.25">
      <c r="B34" s="2" t="s">
        <v>267</v>
      </c>
      <c r="C34" s="94" t="s">
        <v>135</v>
      </c>
      <c r="D34" s="94" t="s">
        <v>147</v>
      </c>
      <c r="S34" s="27"/>
    </row>
    <row r="35" spans="2:20" x14ac:dyDescent="0.25">
      <c r="B35" s="2" t="s">
        <v>305</v>
      </c>
      <c r="C35" s="94" t="s">
        <v>135</v>
      </c>
      <c r="D35" s="94" t="s">
        <v>147</v>
      </c>
      <c r="S35" s="27"/>
    </row>
    <row r="36" spans="2:20" x14ac:dyDescent="0.25">
      <c r="B36" s="2" t="s">
        <v>314</v>
      </c>
      <c r="C36" s="94" t="s">
        <v>135</v>
      </c>
      <c r="D36" s="94" t="s">
        <v>147</v>
      </c>
      <c r="S36" s="27"/>
    </row>
    <row r="37" spans="2:20" x14ac:dyDescent="0.25">
      <c r="B37" s="2" t="s">
        <v>318</v>
      </c>
      <c r="C37" s="94" t="s">
        <v>135</v>
      </c>
      <c r="D37" s="94" t="s">
        <v>147</v>
      </c>
      <c r="S37" s="27"/>
    </row>
    <row r="38" spans="2:20" x14ac:dyDescent="0.25">
      <c r="B38" s="2" t="s">
        <v>321</v>
      </c>
      <c r="C38" s="94" t="s">
        <v>135</v>
      </c>
      <c r="D38" s="94" t="s">
        <v>147</v>
      </c>
      <c r="S38" s="27"/>
    </row>
    <row r="39" spans="2:20" x14ac:dyDescent="0.25">
      <c r="B39" s="2" t="s">
        <v>326</v>
      </c>
      <c r="C39" s="94" t="s">
        <v>135</v>
      </c>
      <c r="D39" s="94" t="s">
        <v>147</v>
      </c>
      <c r="S39" s="27"/>
    </row>
    <row r="40" spans="2:20" x14ac:dyDescent="0.25">
      <c r="C40" s="94"/>
      <c r="D40" s="94"/>
      <c r="S40" s="27"/>
    </row>
    <row r="41" spans="2:20" x14ac:dyDescent="0.25">
      <c r="B41" s="269" t="s">
        <v>235</v>
      </c>
      <c r="C41" s="94"/>
      <c r="D41" s="94"/>
      <c r="S41" s="27"/>
    </row>
    <row r="42" spans="2:20" x14ac:dyDescent="0.25">
      <c r="B42" s="333" t="s">
        <v>236</v>
      </c>
      <c r="C42" s="333"/>
      <c r="D42" s="333"/>
      <c r="E42" s="333"/>
      <c r="F42" s="333"/>
      <c r="G42" s="333"/>
      <c r="H42" s="333"/>
      <c r="S42" s="27"/>
    </row>
    <row r="43" spans="2:20" ht="15" customHeight="1" x14ac:dyDescent="0.25">
      <c r="B43" s="10"/>
      <c r="C43" s="96"/>
      <c r="D43" s="96"/>
      <c r="E43" s="10"/>
      <c r="F43" s="10"/>
      <c r="G43" s="10"/>
      <c r="H43" s="10"/>
      <c r="I43" s="10"/>
      <c r="J43" s="10"/>
      <c r="K43" s="10"/>
      <c r="L43" s="10"/>
      <c r="M43" s="10"/>
      <c r="N43" s="29"/>
      <c r="O43" s="29"/>
      <c r="P43" s="29"/>
      <c r="Q43" s="29"/>
      <c r="R43" s="29"/>
      <c r="S43" s="27"/>
    </row>
    <row r="44" spans="2:20" ht="15" customHeight="1" x14ac:dyDescent="0.25">
      <c r="N44" s="112"/>
      <c r="O44" s="112"/>
      <c r="P44" s="112"/>
      <c r="Q44" s="175" t="s">
        <v>90</v>
      </c>
      <c r="R44" s="176"/>
      <c r="S44" s="177"/>
    </row>
    <row r="45" spans="2:20" ht="15" customHeight="1" x14ac:dyDescent="0.25">
      <c r="B45" s="17" t="s">
        <v>39</v>
      </c>
      <c r="C45" s="98" t="s">
        <v>2</v>
      </c>
      <c r="D45" s="98"/>
      <c r="E45" s="98" t="s">
        <v>34</v>
      </c>
      <c r="F45" s="98" t="s">
        <v>35</v>
      </c>
      <c r="G45" s="123"/>
      <c r="H45" s="123"/>
      <c r="I45" s="117"/>
      <c r="J45" s="98"/>
      <c r="K45" s="98"/>
      <c r="L45" s="98" t="s">
        <v>36</v>
      </c>
      <c r="M45" s="98" t="s">
        <v>37</v>
      </c>
      <c r="N45" s="10"/>
      <c r="O45" s="10"/>
      <c r="P45" s="10"/>
      <c r="Q45" s="54" t="s">
        <v>88</v>
      </c>
      <c r="R45" s="54"/>
      <c r="S45" s="55"/>
    </row>
    <row r="46" spans="2:20" ht="15" customHeight="1" x14ac:dyDescent="0.25">
      <c r="B46" s="65"/>
      <c r="C46" s="9"/>
      <c r="D46" s="9"/>
      <c r="E46" s="9"/>
      <c r="F46" s="9"/>
      <c r="G46" s="9"/>
      <c r="H46" s="9"/>
      <c r="I46" s="9"/>
      <c r="J46" s="9"/>
      <c r="K46" s="9"/>
      <c r="L46" s="9"/>
      <c r="M46" s="9"/>
      <c r="Q46" s="58"/>
      <c r="R46" s="51"/>
      <c r="S46" s="51"/>
    </row>
    <row r="47" spans="2:20" ht="15" customHeight="1" x14ac:dyDescent="0.25">
      <c r="B47" s="65"/>
      <c r="C47" s="9"/>
      <c r="D47" s="9"/>
      <c r="E47" s="9"/>
      <c r="F47" s="9"/>
      <c r="G47" s="9"/>
      <c r="H47" s="9"/>
      <c r="I47" s="9"/>
      <c r="J47" s="9"/>
      <c r="K47" s="9"/>
      <c r="L47" s="9"/>
      <c r="M47" s="9"/>
      <c r="R47" s="51"/>
      <c r="S47" s="51"/>
    </row>
    <row r="48" spans="2:20" x14ac:dyDescent="0.25">
      <c r="B48" s="11"/>
      <c r="C48" s="9"/>
      <c r="D48" s="9"/>
      <c r="E48" s="9"/>
      <c r="N48" s="45"/>
      <c r="O48" s="45"/>
      <c r="P48" s="45"/>
      <c r="Q48" s="51"/>
      <c r="R48" s="51"/>
      <c r="S48" s="51"/>
      <c r="T48" s="51"/>
    </row>
    <row r="49" spans="2:20" x14ac:dyDescent="0.25">
      <c r="B49" s="12"/>
      <c r="C49" s="13"/>
      <c r="D49" s="13"/>
      <c r="E49" s="14"/>
      <c r="F49" s="15"/>
      <c r="G49" s="15"/>
      <c r="H49" s="15"/>
      <c r="I49" s="15"/>
      <c r="J49" s="15"/>
      <c r="K49" s="15"/>
      <c r="L49" s="16"/>
      <c r="M49" s="20"/>
      <c r="N49" s="18"/>
      <c r="O49" s="18"/>
      <c r="P49" s="18"/>
      <c r="Q49" s="51"/>
      <c r="R49" s="51"/>
      <c r="S49" s="51"/>
      <c r="T49" s="51"/>
    </row>
    <row r="50" spans="2:20" x14ac:dyDescent="0.25">
      <c r="B50" s="12"/>
      <c r="C50" s="13"/>
      <c r="D50" s="13"/>
      <c r="E50" s="14"/>
      <c r="F50" s="15"/>
      <c r="G50" s="15"/>
      <c r="H50" s="15"/>
      <c r="I50" s="15"/>
      <c r="J50" s="15"/>
      <c r="K50" s="15"/>
      <c r="L50" s="16"/>
      <c r="M50" s="20"/>
      <c r="N50" s="18"/>
      <c r="O50" s="18"/>
      <c r="P50" s="18"/>
      <c r="Q50" s="325" t="s">
        <v>343</v>
      </c>
      <c r="R50" s="325"/>
      <c r="S50" s="327">
        <f>S19</f>
        <v>76532.27</v>
      </c>
      <c r="T50" s="51"/>
    </row>
    <row r="51" spans="2:20" x14ac:dyDescent="0.25">
      <c r="B51" s="12"/>
      <c r="C51" s="13"/>
      <c r="D51" s="13"/>
      <c r="E51" s="14"/>
      <c r="F51" s="15"/>
      <c r="G51" s="15"/>
      <c r="H51" s="15"/>
      <c r="I51" s="15"/>
      <c r="J51" s="15"/>
      <c r="K51" s="15"/>
      <c r="L51" s="16"/>
      <c r="M51" s="20"/>
      <c r="N51" s="18"/>
      <c r="O51" s="18"/>
      <c r="P51" s="18"/>
      <c r="Q51" s="51"/>
      <c r="R51" s="51"/>
      <c r="S51" s="51"/>
      <c r="T51" s="51"/>
    </row>
    <row r="52" spans="2:20" x14ac:dyDescent="0.25">
      <c r="B52" s="12"/>
      <c r="C52" s="13"/>
      <c r="D52" s="13"/>
      <c r="E52" s="14"/>
      <c r="F52" s="15"/>
      <c r="G52" s="15"/>
      <c r="H52" s="15"/>
      <c r="I52" s="15"/>
      <c r="J52" s="15"/>
      <c r="K52" s="15"/>
      <c r="L52" s="16"/>
      <c r="M52" s="20"/>
      <c r="N52" s="18"/>
      <c r="O52" s="18"/>
      <c r="P52" s="18"/>
      <c r="T52" s="51"/>
    </row>
  </sheetData>
  <mergeCells count="7">
    <mergeCell ref="B42:H42"/>
    <mergeCell ref="B27:F27"/>
    <mergeCell ref="Q2:S2"/>
    <mergeCell ref="Q1:S1"/>
    <mergeCell ref="B22:F22"/>
    <mergeCell ref="B24:F24"/>
    <mergeCell ref="B26:F26"/>
  </mergeCells>
  <hyperlinks>
    <hyperlink ref="B27" r:id="rId1"/>
  </hyperlinks>
  <printOptions horizontalCentered="1" gridLines="1"/>
  <pageMargins left="0" right="0" top="0.75" bottom="0.75" header="0.3" footer="0.3"/>
  <pageSetup scale="53" orientation="landscape" horizontalDpi="1200" verticalDpi="1200"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8"/>
  <sheetViews>
    <sheetView topLeftCell="E26" zoomScale="120" zoomScaleNormal="120" workbookViewId="0">
      <selection activeCell="S50" sqref="S50"/>
    </sheetView>
  </sheetViews>
  <sheetFormatPr defaultColWidth="9.140625" defaultRowHeight="15" x14ac:dyDescent="0.25"/>
  <cols>
    <col min="1" max="1" width="9.140625" style="2" hidden="1" customWidth="1"/>
    <col min="2" max="2" width="59.140625" style="2" customWidth="1"/>
    <col min="3" max="3" width="30.85546875" style="2" customWidth="1"/>
    <col min="4" max="4" width="13.7109375" style="2" customWidth="1"/>
    <col min="5" max="5" width="18" style="2" customWidth="1"/>
    <col min="6" max="6" width="21.5703125" style="2" customWidth="1"/>
    <col min="7" max="7" width="10.28515625" style="2" customWidth="1"/>
    <col min="8" max="8" width="12.85546875" style="2" customWidth="1"/>
    <col min="9" max="9" width="13.42578125" style="2" customWidth="1"/>
    <col min="10" max="10" width="15.7109375" style="2" customWidth="1"/>
    <col min="11" max="11" width="8.85546875" style="2" customWidth="1"/>
    <col min="12" max="12" width="17.425781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6.7109375" style="2" customWidth="1"/>
    <col min="20" max="16384" width="9.140625" style="2"/>
  </cols>
  <sheetData>
    <row r="1" spans="1:20" ht="18" customHeight="1" x14ac:dyDescent="0.25">
      <c r="A1" s="2" t="s">
        <v>342</v>
      </c>
      <c r="B1" s="1" t="s">
        <v>46</v>
      </c>
      <c r="Q1" s="335" t="s">
        <v>230</v>
      </c>
      <c r="R1" s="335"/>
      <c r="S1" s="335"/>
    </row>
    <row r="2" spans="1:20" ht="18" customHeight="1" x14ac:dyDescent="0.25">
      <c r="B2" s="90" t="s">
        <v>148</v>
      </c>
      <c r="C2" s="187">
        <v>44377</v>
      </c>
      <c r="M2" s="73"/>
      <c r="N2" s="73"/>
      <c r="P2" s="29"/>
      <c r="Q2" s="334" t="s">
        <v>338</v>
      </c>
      <c r="R2" s="334"/>
      <c r="S2" s="334"/>
    </row>
    <row r="3" spans="1:20" ht="18" customHeight="1" thickBot="1" x14ac:dyDescent="0.3">
      <c r="A3" s="2" t="s">
        <v>16</v>
      </c>
      <c r="B3" s="44" t="s">
        <v>76</v>
      </c>
      <c r="C3" s="8"/>
      <c r="D3" s="8"/>
      <c r="E3" s="8"/>
      <c r="P3" s="29"/>
      <c r="Q3" s="45"/>
      <c r="R3" s="30"/>
    </row>
    <row r="4" spans="1:20" ht="18.75" customHeight="1" x14ac:dyDescent="0.25">
      <c r="B4" s="8" t="s">
        <v>174</v>
      </c>
      <c r="M4" s="87" t="s">
        <v>28</v>
      </c>
      <c r="N4" s="87" t="s">
        <v>28</v>
      </c>
      <c r="O4" s="87" t="s">
        <v>28</v>
      </c>
      <c r="P4" s="9"/>
      <c r="Q4" s="91" t="s">
        <v>29</v>
      </c>
      <c r="R4" s="91" t="s">
        <v>31</v>
      </c>
      <c r="S4" s="91" t="s">
        <v>23</v>
      </c>
      <c r="T4" s="7"/>
    </row>
    <row r="5" spans="1:20" ht="15.75" thickBot="1" x14ac:dyDescent="0.3">
      <c r="G5" s="188" t="s">
        <v>231</v>
      </c>
      <c r="H5" s="188" t="s">
        <v>231</v>
      </c>
      <c r="M5" s="88" t="s">
        <v>27</v>
      </c>
      <c r="N5" s="88" t="s">
        <v>26</v>
      </c>
      <c r="O5" s="88" t="s">
        <v>25</v>
      </c>
      <c r="P5" s="9"/>
      <c r="Q5" s="92" t="s">
        <v>30</v>
      </c>
      <c r="R5" s="92" t="s">
        <v>30</v>
      </c>
      <c r="S5" s="92" t="s">
        <v>30</v>
      </c>
      <c r="T5" s="7"/>
    </row>
    <row r="6" spans="1:20" ht="85.5" customHeight="1" thickBot="1" x14ac:dyDescent="0.3">
      <c r="B6" s="86" t="s">
        <v>1</v>
      </c>
      <c r="C6" s="86" t="s">
        <v>127</v>
      </c>
      <c r="D6" s="86" t="s">
        <v>107</v>
      </c>
      <c r="E6" s="86" t="s">
        <v>3</v>
      </c>
      <c r="F6" s="86" t="s">
        <v>4</v>
      </c>
      <c r="G6" s="110" t="s">
        <v>136</v>
      </c>
      <c r="H6" s="110" t="s">
        <v>137</v>
      </c>
      <c r="I6" s="110" t="s">
        <v>133</v>
      </c>
      <c r="J6" s="110" t="s">
        <v>134</v>
      </c>
      <c r="K6" s="110" t="s">
        <v>121</v>
      </c>
      <c r="L6" s="85" t="s">
        <v>5</v>
      </c>
      <c r="M6" s="89" t="s">
        <v>6</v>
      </c>
      <c r="N6" s="89" t="s">
        <v>6</v>
      </c>
      <c r="O6" s="89" t="s">
        <v>6</v>
      </c>
      <c r="P6" s="9"/>
      <c r="Q6" s="93"/>
      <c r="R6" s="99" t="s">
        <v>32</v>
      </c>
      <c r="S6" s="100" t="s">
        <v>33</v>
      </c>
    </row>
    <row r="7" spans="1:20" ht="30" customHeight="1" x14ac:dyDescent="0.25">
      <c r="B7" s="2" t="s">
        <v>8</v>
      </c>
      <c r="C7" s="94" t="s">
        <v>106</v>
      </c>
      <c r="D7" s="94" t="s">
        <v>246</v>
      </c>
      <c r="E7" s="2" t="s">
        <v>232</v>
      </c>
      <c r="F7" s="2" t="s">
        <v>7</v>
      </c>
      <c r="G7" s="191">
        <v>2.9600000000000001E-2</v>
      </c>
      <c r="H7" s="191">
        <v>0.1744</v>
      </c>
      <c r="I7" s="192">
        <v>44377</v>
      </c>
      <c r="J7" s="192">
        <v>44378</v>
      </c>
      <c r="K7" s="192">
        <v>44013</v>
      </c>
      <c r="L7" s="193" t="s">
        <v>234</v>
      </c>
      <c r="M7" s="72">
        <v>1764.24</v>
      </c>
      <c r="N7" s="72">
        <f>1766.24-M7</f>
        <v>2</v>
      </c>
      <c r="O7" s="69">
        <f>M7+N7</f>
        <v>1766.24</v>
      </c>
      <c r="P7" s="42"/>
      <c r="Q7" s="43">
        <v>1610.49</v>
      </c>
      <c r="R7" s="69"/>
      <c r="S7" s="70">
        <f>Q7+R7</f>
        <v>1610.49</v>
      </c>
    </row>
    <row r="8" spans="1:20" ht="31.5" customHeight="1" x14ac:dyDescent="0.25">
      <c r="B8" s="2" t="s">
        <v>128</v>
      </c>
      <c r="C8" s="243" t="s">
        <v>122</v>
      </c>
      <c r="D8" s="95" t="s">
        <v>248</v>
      </c>
      <c r="E8" s="2" t="s">
        <v>233</v>
      </c>
      <c r="F8" s="2" t="s">
        <v>7</v>
      </c>
      <c r="G8" s="191">
        <f>+G7</f>
        <v>2.9600000000000001E-2</v>
      </c>
      <c r="H8" s="191">
        <f>+H7</f>
        <v>0.1744</v>
      </c>
      <c r="I8" s="192">
        <f>+I7</f>
        <v>44377</v>
      </c>
      <c r="J8" s="192">
        <f>+J7</f>
        <v>44378</v>
      </c>
      <c r="K8" s="192">
        <f>+K7</f>
        <v>44013</v>
      </c>
      <c r="L8" s="209" t="str">
        <f t="shared" ref="L8" si="0">+L7</f>
        <v>07/01/20 - 06/30/21</v>
      </c>
      <c r="M8" s="69">
        <v>249.14</v>
      </c>
      <c r="N8" s="69"/>
      <c r="O8" s="69">
        <f>M8+N8</f>
        <v>249.14</v>
      </c>
      <c r="P8" s="29"/>
      <c r="Q8" s="69">
        <v>249.14</v>
      </c>
      <c r="R8" s="69"/>
      <c r="S8" s="70">
        <f>Q8+R8</f>
        <v>249.14</v>
      </c>
    </row>
    <row r="9" spans="1:20" ht="27.75" customHeight="1" x14ac:dyDescent="0.25">
      <c r="B9" s="2" t="s">
        <v>241</v>
      </c>
      <c r="C9" s="243" t="s">
        <v>242</v>
      </c>
      <c r="D9" s="95" t="s">
        <v>243</v>
      </c>
      <c r="E9" s="2" t="s">
        <v>244</v>
      </c>
      <c r="F9" s="2" t="s">
        <v>7</v>
      </c>
      <c r="G9" s="191">
        <f t="shared" ref="G9:H10" si="1">+G8</f>
        <v>2.9600000000000001E-2</v>
      </c>
      <c r="H9" s="191">
        <f t="shared" si="1"/>
        <v>0.1744</v>
      </c>
      <c r="I9" s="192">
        <v>44834</v>
      </c>
      <c r="J9" s="192">
        <v>44849</v>
      </c>
      <c r="K9" s="192">
        <v>43614</v>
      </c>
      <c r="L9" s="193" t="s">
        <v>311</v>
      </c>
      <c r="M9" s="69">
        <v>16006.89</v>
      </c>
      <c r="N9" s="69"/>
      <c r="O9" s="69">
        <f>M9+N9</f>
        <v>16006.89</v>
      </c>
      <c r="P9" s="29"/>
      <c r="Q9" s="69"/>
      <c r="R9" s="69"/>
      <c r="S9" s="70">
        <f>Q9+R9</f>
        <v>0</v>
      </c>
    </row>
    <row r="10" spans="1:20" ht="27.75" customHeight="1" x14ac:dyDescent="0.25">
      <c r="B10" s="2" t="s">
        <v>283</v>
      </c>
      <c r="C10" s="243" t="s">
        <v>264</v>
      </c>
      <c r="D10" s="95" t="s">
        <v>254</v>
      </c>
      <c r="E10" s="2" t="s">
        <v>284</v>
      </c>
      <c r="F10" s="2" t="s">
        <v>7</v>
      </c>
      <c r="G10" s="191">
        <f t="shared" si="1"/>
        <v>2.9600000000000001E-2</v>
      </c>
      <c r="H10" s="191">
        <f t="shared" si="1"/>
        <v>0.1744</v>
      </c>
      <c r="I10" s="192">
        <v>44377</v>
      </c>
      <c r="J10" s="192">
        <v>44392</v>
      </c>
      <c r="K10" s="192">
        <v>43613</v>
      </c>
      <c r="L10" s="193" t="s">
        <v>234</v>
      </c>
      <c r="M10" s="81">
        <v>7302.48</v>
      </c>
      <c r="N10" s="69"/>
      <c r="O10" s="69">
        <f>M10+N10</f>
        <v>7302.48</v>
      </c>
      <c r="P10" s="69"/>
      <c r="Q10" s="69"/>
      <c r="R10" s="69"/>
      <c r="S10" s="70">
        <f>Q10+R10</f>
        <v>0</v>
      </c>
    </row>
    <row r="11" spans="1:20" ht="27.75" customHeight="1" x14ac:dyDescent="0.25">
      <c r="B11" s="2" t="s">
        <v>268</v>
      </c>
      <c r="C11" s="243" t="s">
        <v>269</v>
      </c>
      <c r="D11" s="95" t="s">
        <v>164</v>
      </c>
      <c r="E11" s="2" t="s">
        <v>274</v>
      </c>
      <c r="F11" s="2" t="s">
        <v>7</v>
      </c>
      <c r="G11" s="191">
        <f>+G9</f>
        <v>2.9600000000000001E-2</v>
      </c>
      <c r="H11" s="191">
        <f>+H9</f>
        <v>0.1744</v>
      </c>
      <c r="I11" s="192">
        <v>44393</v>
      </c>
      <c r="J11" s="192">
        <v>44408</v>
      </c>
      <c r="K11" s="192">
        <v>42644</v>
      </c>
      <c r="L11" s="193" t="s">
        <v>310</v>
      </c>
      <c r="M11" s="81">
        <v>46536</v>
      </c>
      <c r="N11" s="69"/>
      <c r="O11" s="69">
        <f>M11+N11</f>
        <v>46536</v>
      </c>
      <c r="P11" s="69"/>
      <c r="Q11" s="69">
        <v>46536</v>
      </c>
      <c r="R11" s="69"/>
      <c r="S11" s="70">
        <f>Q11+R11</f>
        <v>46536</v>
      </c>
    </row>
    <row r="12" spans="1:20" ht="27.75" customHeight="1" x14ac:dyDescent="0.25">
      <c r="B12" s="2" t="s">
        <v>318</v>
      </c>
      <c r="C12" s="243" t="s">
        <v>242</v>
      </c>
      <c r="D12" s="95" t="s">
        <v>243</v>
      </c>
      <c r="E12" s="2" t="s">
        <v>319</v>
      </c>
      <c r="F12" s="2" t="s">
        <v>7</v>
      </c>
      <c r="G12" s="191">
        <v>2.9600000000000001E-2</v>
      </c>
      <c r="H12" s="191">
        <v>0.1744</v>
      </c>
      <c r="I12" s="192">
        <v>44561</v>
      </c>
      <c r="J12" s="192">
        <v>44576</v>
      </c>
      <c r="K12" s="192">
        <v>43980</v>
      </c>
      <c r="L12" s="193" t="s">
        <v>320</v>
      </c>
      <c r="M12" s="81">
        <v>3000</v>
      </c>
      <c r="N12" s="69"/>
      <c r="O12" s="69">
        <f t="shared" ref="O12:O14" si="2">M12+N12</f>
        <v>3000</v>
      </c>
      <c r="P12" s="68"/>
      <c r="Q12" s="69"/>
      <c r="R12" s="69"/>
      <c r="S12" s="70">
        <f t="shared" ref="S12:S14" si="3">Q12+R12</f>
        <v>0</v>
      </c>
    </row>
    <row r="13" spans="1:20" ht="27.75" customHeight="1" x14ac:dyDescent="0.25">
      <c r="B13" s="2" t="s">
        <v>321</v>
      </c>
      <c r="C13" s="243" t="s">
        <v>264</v>
      </c>
      <c r="D13" s="95" t="s">
        <v>254</v>
      </c>
      <c r="E13" s="2" t="s">
        <v>322</v>
      </c>
      <c r="F13" s="2" t="s">
        <v>7</v>
      </c>
      <c r="G13" s="191">
        <v>2.9600000000000001E-2</v>
      </c>
      <c r="H13" s="191">
        <v>0.1744</v>
      </c>
      <c r="I13" s="192">
        <v>44742</v>
      </c>
      <c r="J13" s="192">
        <v>44757</v>
      </c>
      <c r="K13" s="192">
        <v>43979</v>
      </c>
      <c r="L13" s="193" t="s">
        <v>323</v>
      </c>
      <c r="M13" s="81">
        <v>1027</v>
      </c>
      <c r="N13" s="69"/>
      <c r="O13" s="69">
        <f t="shared" si="2"/>
        <v>1027</v>
      </c>
      <c r="P13" s="68"/>
      <c r="Q13" s="69"/>
      <c r="R13" s="69"/>
      <c r="S13" s="70">
        <f t="shared" si="3"/>
        <v>0</v>
      </c>
    </row>
    <row r="14" spans="1:20" ht="27.75" customHeight="1" x14ac:dyDescent="0.25">
      <c r="B14" s="2" t="s">
        <v>327</v>
      </c>
      <c r="C14" s="243" t="s">
        <v>242</v>
      </c>
      <c r="D14" s="95" t="s">
        <v>328</v>
      </c>
      <c r="E14" s="2" t="s">
        <v>329</v>
      </c>
      <c r="F14" s="2" t="s">
        <v>7</v>
      </c>
      <c r="G14" s="191">
        <v>2.9600000000000001E-2</v>
      </c>
      <c r="H14" s="191">
        <v>0.1744</v>
      </c>
      <c r="I14" s="192">
        <v>44440</v>
      </c>
      <c r="J14" s="192">
        <v>44440</v>
      </c>
      <c r="K14" s="192">
        <v>44201</v>
      </c>
      <c r="L14" s="193" t="s">
        <v>330</v>
      </c>
      <c r="M14" s="81">
        <v>11117.62</v>
      </c>
      <c r="N14" s="69"/>
      <c r="O14" s="69">
        <f t="shared" si="2"/>
        <v>11117.62</v>
      </c>
      <c r="P14" s="68"/>
      <c r="Q14" s="69"/>
      <c r="R14" s="69"/>
      <c r="S14" s="70">
        <f t="shared" si="3"/>
        <v>0</v>
      </c>
    </row>
    <row r="15" spans="1:20" x14ac:dyDescent="0.25">
      <c r="B15" s="29"/>
      <c r="C15" s="4"/>
      <c r="D15" s="4"/>
      <c r="G15" s="207"/>
      <c r="H15" s="191" t="s">
        <v>100</v>
      </c>
      <c r="I15" s="192"/>
      <c r="J15" s="192"/>
      <c r="K15" s="192"/>
      <c r="L15" s="210"/>
      <c r="M15" s="25"/>
      <c r="N15" s="25"/>
      <c r="O15" s="25"/>
      <c r="P15" s="29"/>
      <c r="Q15" s="25"/>
      <c r="R15" s="25"/>
      <c r="S15" s="26"/>
    </row>
    <row r="16" spans="1:20" ht="24.75" customHeight="1" x14ac:dyDescent="0.25">
      <c r="C16" s="4"/>
      <c r="D16" s="4"/>
      <c r="I16" s="119"/>
      <c r="J16" s="119"/>
      <c r="K16" s="119"/>
      <c r="L16" s="5" t="s">
        <v>38</v>
      </c>
      <c r="M16" s="68">
        <f>SUM(M7:M15)</f>
        <v>87003.37</v>
      </c>
      <c r="N16" s="68">
        <f>SUM(N7:N15)</f>
        <v>2</v>
      </c>
      <c r="O16" s="68">
        <f>SUM(O7:O15)</f>
        <v>87005.37</v>
      </c>
      <c r="Q16" s="68">
        <f>SUM(Q7:Q15)</f>
        <v>48395.63</v>
      </c>
      <c r="R16" s="68">
        <f>SUM(R7:R15)</f>
        <v>0</v>
      </c>
      <c r="S16" s="23">
        <f>SUM(S7:S15)</f>
        <v>48395.63</v>
      </c>
    </row>
    <row r="17" spans="2:19" x14ac:dyDescent="0.25">
      <c r="C17" s="4"/>
      <c r="D17" s="4"/>
      <c r="L17" s="5"/>
      <c r="M17" s="68"/>
      <c r="N17" s="68"/>
      <c r="O17" s="68"/>
      <c r="Q17" s="68"/>
      <c r="R17" s="68"/>
      <c r="S17" s="70"/>
    </row>
    <row r="18" spans="2:19" x14ac:dyDescent="0.25">
      <c r="C18" s="4"/>
      <c r="D18" s="4"/>
      <c r="L18" s="5"/>
      <c r="M18" s="68"/>
      <c r="N18" s="68"/>
      <c r="O18" s="68"/>
      <c r="Q18" s="68"/>
      <c r="R18" s="68"/>
      <c r="S18" s="70"/>
    </row>
    <row r="19" spans="2:19" x14ac:dyDescent="0.25">
      <c r="B19" s="8" t="s">
        <v>125</v>
      </c>
      <c r="C19" s="94"/>
      <c r="D19" s="94"/>
      <c r="L19" s="5"/>
      <c r="M19" s="68"/>
      <c r="N19" s="68"/>
      <c r="O19" s="68"/>
      <c r="Q19" s="68"/>
      <c r="R19" s="68"/>
      <c r="S19" s="70"/>
    </row>
    <row r="20" spans="2:19" ht="28.5" customHeight="1" x14ac:dyDescent="0.25">
      <c r="B20" s="338" t="s">
        <v>126</v>
      </c>
      <c r="C20" s="338"/>
      <c r="D20" s="338"/>
      <c r="E20" s="338"/>
      <c r="F20" s="338"/>
      <c r="G20" s="120"/>
      <c r="H20" s="120"/>
      <c r="I20" s="114"/>
      <c r="L20" s="5"/>
      <c r="M20" s="68"/>
      <c r="N20" s="68"/>
      <c r="O20" s="68"/>
      <c r="Q20" s="68"/>
      <c r="R20" s="68"/>
      <c r="S20" s="70"/>
    </row>
    <row r="21" spans="2:19" x14ac:dyDescent="0.25">
      <c r="C21" s="94"/>
      <c r="D21" s="94"/>
      <c r="L21" s="5"/>
      <c r="M21" s="68"/>
      <c r="N21" s="68"/>
      <c r="O21" s="68"/>
      <c r="Q21" s="68"/>
      <c r="R21" s="68"/>
      <c r="S21" s="70"/>
    </row>
    <row r="22" spans="2:19" ht="52.5" customHeight="1" x14ac:dyDescent="0.25">
      <c r="B22" s="338" t="s">
        <v>129</v>
      </c>
      <c r="C22" s="338"/>
      <c r="D22" s="338"/>
      <c r="E22" s="338"/>
      <c r="F22" s="338"/>
      <c r="G22" s="120"/>
      <c r="H22" s="120"/>
      <c r="I22" s="114"/>
      <c r="L22" s="5"/>
      <c r="M22" s="68"/>
      <c r="N22" s="68"/>
      <c r="O22" s="68"/>
      <c r="Q22" s="68"/>
      <c r="R22" s="68"/>
      <c r="S22" s="70"/>
    </row>
    <row r="23" spans="2:19" x14ac:dyDescent="0.25">
      <c r="B23" s="111"/>
      <c r="C23" s="111"/>
      <c r="D23" s="111"/>
      <c r="E23" s="111"/>
      <c r="F23" s="111"/>
      <c r="G23" s="120"/>
      <c r="H23" s="120"/>
      <c r="I23" s="114"/>
      <c r="L23" s="5"/>
      <c r="M23" s="68"/>
      <c r="N23" s="68"/>
      <c r="O23" s="68"/>
      <c r="Q23" s="68"/>
      <c r="R23" s="68"/>
      <c r="S23" s="70"/>
    </row>
    <row r="24" spans="2:19" ht="30" customHeight="1" x14ac:dyDescent="0.25">
      <c r="B24" s="338" t="s">
        <v>160</v>
      </c>
      <c r="C24" s="338"/>
      <c r="D24" s="338"/>
      <c r="E24" s="338"/>
      <c r="F24" s="338"/>
      <c r="G24" s="198"/>
      <c r="H24" s="198"/>
      <c r="I24" s="198"/>
      <c r="L24" s="5"/>
      <c r="M24" s="68"/>
      <c r="N24" s="68"/>
      <c r="O24" s="68"/>
      <c r="Q24" s="68"/>
      <c r="R24" s="68"/>
      <c r="S24" s="70"/>
    </row>
    <row r="25" spans="2:19" ht="15" customHeight="1" x14ac:dyDescent="0.25">
      <c r="B25" s="346" t="s">
        <v>159</v>
      </c>
      <c r="C25" s="338"/>
      <c r="D25" s="338"/>
      <c r="E25" s="338"/>
      <c r="F25" s="338"/>
      <c r="G25" s="198"/>
      <c r="H25" s="198"/>
      <c r="I25" s="198"/>
      <c r="L25" s="5"/>
      <c r="M25" s="68"/>
      <c r="N25" s="68"/>
      <c r="O25" s="68"/>
      <c r="Q25" s="68"/>
      <c r="R25" s="68"/>
      <c r="S25" s="70"/>
    </row>
    <row r="26" spans="2:19" ht="15" customHeight="1" x14ac:dyDescent="0.25">
      <c r="B26" s="200"/>
      <c r="C26" s="200"/>
      <c r="D26" s="200"/>
      <c r="E26" s="200"/>
      <c r="F26" s="200"/>
      <c r="G26" s="200"/>
      <c r="H26" s="200"/>
      <c r="I26" s="200"/>
      <c r="L26" s="5"/>
      <c r="M26" s="68"/>
      <c r="N26" s="68"/>
      <c r="O26" s="68"/>
      <c r="Q26" s="68"/>
      <c r="R26" s="68"/>
      <c r="S26" s="70"/>
    </row>
    <row r="27" spans="2:19" x14ac:dyDescent="0.25">
      <c r="B27" s="7" t="s">
        <v>109</v>
      </c>
      <c r="C27" s="104" t="s">
        <v>112</v>
      </c>
      <c r="D27" s="104" t="s">
        <v>113</v>
      </c>
      <c r="E27" s="111"/>
      <c r="F27" s="111"/>
      <c r="G27" s="120"/>
      <c r="H27" s="120"/>
      <c r="I27" s="114"/>
      <c r="L27" s="5"/>
      <c r="M27" s="68"/>
      <c r="N27" s="68"/>
      <c r="O27" s="68"/>
      <c r="Q27" s="68"/>
      <c r="R27" s="68"/>
      <c r="S27" s="70"/>
    </row>
    <row r="28" spans="2:19" x14ac:dyDescent="0.25">
      <c r="B28" s="2" t="s">
        <v>110</v>
      </c>
      <c r="C28" s="94" t="s">
        <v>116</v>
      </c>
      <c r="D28" s="94" t="s">
        <v>118</v>
      </c>
      <c r="L28" s="5"/>
      <c r="M28" s="68"/>
      <c r="N28" s="68"/>
      <c r="O28" s="68"/>
      <c r="Q28" s="68"/>
      <c r="R28" s="68"/>
      <c r="S28" s="70"/>
    </row>
    <row r="29" spans="2:19" x14ac:dyDescent="0.25">
      <c r="B29" s="2" t="s">
        <v>111</v>
      </c>
      <c r="C29" s="94" t="s">
        <v>114</v>
      </c>
      <c r="D29" s="94" t="s">
        <v>119</v>
      </c>
      <c r="L29" s="5"/>
      <c r="M29" s="68"/>
      <c r="N29" s="68"/>
      <c r="O29" s="68"/>
      <c r="Q29" s="68"/>
      <c r="R29" s="68"/>
      <c r="S29" s="70"/>
    </row>
    <row r="30" spans="2:19" x14ac:dyDescent="0.25">
      <c r="B30" s="2" t="s">
        <v>252</v>
      </c>
      <c r="C30" s="94" t="s">
        <v>135</v>
      </c>
      <c r="D30" s="94" t="s">
        <v>147</v>
      </c>
      <c r="L30" s="5"/>
      <c r="M30" s="68"/>
      <c r="N30" s="68"/>
      <c r="O30" s="68"/>
      <c r="Q30" s="68"/>
      <c r="R30" s="68"/>
      <c r="S30" s="70"/>
    </row>
    <row r="31" spans="2:19" x14ac:dyDescent="0.25">
      <c r="B31" s="2" t="s">
        <v>260</v>
      </c>
      <c r="C31" s="94" t="s">
        <v>135</v>
      </c>
      <c r="D31" s="94" t="s">
        <v>147</v>
      </c>
      <c r="L31" s="5"/>
      <c r="M31" s="68"/>
      <c r="N31" s="68"/>
      <c r="O31" s="68"/>
      <c r="Q31" s="68"/>
      <c r="R31" s="68"/>
      <c r="S31" s="70"/>
    </row>
    <row r="32" spans="2:19" x14ac:dyDescent="0.25">
      <c r="B32" s="2" t="s">
        <v>267</v>
      </c>
      <c r="C32" s="94" t="s">
        <v>135</v>
      </c>
      <c r="D32" s="94" t="s">
        <v>147</v>
      </c>
      <c r="L32" s="5"/>
      <c r="M32" s="68"/>
      <c r="N32" s="68"/>
      <c r="O32" s="68"/>
      <c r="Q32" s="68"/>
      <c r="R32" s="68"/>
      <c r="S32" s="70"/>
    </row>
    <row r="33" spans="2:20" x14ac:dyDescent="0.25">
      <c r="B33" s="2" t="s">
        <v>318</v>
      </c>
      <c r="C33" s="94" t="s">
        <v>135</v>
      </c>
      <c r="D33" s="94" t="s">
        <v>147</v>
      </c>
      <c r="L33" s="5"/>
      <c r="M33" s="68"/>
      <c r="N33" s="68"/>
      <c r="O33" s="68"/>
      <c r="Q33" s="68"/>
      <c r="R33" s="68"/>
      <c r="S33" s="70"/>
    </row>
    <row r="34" spans="2:20" x14ac:dyDescent="0.25">
      <c r="B34" s="2" t="s">
        <v>321</v>
      </c>
      <c r="C34" s="94" t="s">
        <v>135</v>
      </c>
      <c r="D34" s="94" t="s">
        <v>147</v>
      </c>
      <c r="L34" s="5"/>
      <c r="M34" s="68"/>
      <c r="N34" s="68"/>
      <c r="O34" s="68"/>
      <c r="Q34" s="68"/>
      <c r="R34" s="68"/>
      <c r="S34" s="70"/>
    </row>
    <row r="35" spans="2:20" x14ac:dyDescent="0.25">
      <c r="B35" s="2" t="s">
        <v>326</v>
      </c>
      <c r="C35" s="94" t="s">
        <v>135</v>
      </c>
      <c r="D35" s="94" t="s">
        <v>147</v>
      </c>
      <c r="L35" s="5"/>
      <c r="M35" s="68"/>
      <c r="N35" s="68"/>
      <c r="O35" s="68"/>
      <c r="Q35" s="68"/>
      <c r="R35" s="68"/>
      <c r="S35" s="70"/>
    </row>
    <row r="36" spans="2:20" x14ac:dyDescent="0.25">
      <c r="C36" s="94"/>
      <c r="D36" s="94"/>
      <c r="L36" s="5"/>
      <c r="M36" s="68"/>
      <c r="N36" s="68"/>
      <c r="O36" s="68"/>
      <c r="Q36" s="68"/>
      <c r="R36" s="68"/>
      <c r="S36" s="70"/>
    </row>
    <row r="37" spans="2:20" x14ac:dyDescent="0.25">
      <c r="B37" s="269" t="s">
        <v>235</v>
      </c>
      <c r="C37" s="94"/>
      <c r="D37" s="94"/>
      <c r="L37" s="5"/>
      <c r="M37" s="68"/>
      <c r="N37" s="68"/>
      <c r="O37" s="68"/>
      <c r="Q37" s="68"/>
      <c r="R37" s="68"/>
      <c r="S37" s="70"/>
    </row>
    <row r="38" spans="2:20" x14ac:dyDescent="0.25">
      <c r="B38" s="333" t="s">
        <v>236</v>
      </c>
      <c r="C38" s="333"/>
      <c r="D38" s="333"/>
      <c r="E38" s="333"/>
      <c r="F38" s="333"/>
      <c r="G38" s="333"/>
      <c r="H38" s="333"/>
      <c r="L38" s="5"/>
      <c r="M38" s="68"/>
      <c r="N38" s="68"/>
      <c r="O38" s="68"/>
      <c r="Q38" s="68"/>
      <c r="R38" s="68"/>
      <c r="S38" s="70"/>
    </row>
    <row r="39" spans="2:20" ht="15" customHeight="1" x14ac:dyDescent="0.25">
      <c r="B39" s="10"/>
      <c r="C39" s="10"/>
      <c r="D39" s="10"/>
      <c r="E39" s="10"/>
      <c r="F39" s="10"/>
      <c r="G39" s="10"/>
      <c r="H39" s="10"/>
      <c r="I39" s="10"/>
      <c r="J39" s="10"/>
      <c r="K39" s="10"/>
      <c r="L39" s="10"/>
      <c r="M39" s="10"/>
      <c r="N39" s="29"/>
      <c r="O39" s="29"/>
      <c r="P39" s="29"/>
      <c r="Q39" s="29"/>
      <c r="R39" s="29"/>
      <c r="S39" s="27"/>
    </row>
    <row r="40" spans="2:20" ht="15" customHeight="1" x14ac:dyDescent="0.25">
      <c r="N40" s="163"/>
      <c r="O40" s="163"/>
      <c r="P40" s="163"/>
      <c r="Q40" s="171" t="s">
        <v>90</v>
      </c>
      <c r="R40" s="168"/>
      <c r="S40" s="169"/>
      <c r="T40" s="51"/>
    </row>
    <row r="41" spans="2:20" ht="15" customHeight="1" x14ac:dyDescent="0.25">
      <c r="B41" s="17" t="s">
        <v>39</v>
      </c>
      <c r="C41" s="98" t="s">
        <v>2</v>
      </c>
      <c r="D41" s="98"/>
      <c r="E41" s="98" t="s">
        <v>34</v>
      </c>
      <c r="F41" s="98" t="s">
        <v>35</v>
      </c>
      <c r="G41" s="123"/>
      <c r="H41" s="123"/>
      <c r="I41" s="117"/>
      <c r="J41" s="98"/>
      <c r="K41" s="98"/>
      <c r="L41" s="98" t="s">
        <v>36</v>
      </c>
      <c r="M41" s="98" t="s">
        <v>37</v>
      </c>
      <c r="N41" s="10"/>
      <c r="O41" s="10"/>
      <c r="P41" s="10"/>
      <c r="Q41" s="54" t="s">
        <v>88</v>
      </c>
      <c r="R41" s="52"/>
      <c r="S41" s="53"/>
      <c r="T41" s="51"/>
    </row>
    <row r="42" spans="2:20" x14ac:dyDescent="0.25">
      <c r="B42" s="65"/>
      <c r="C42" s="9"/>
      <c r="D42" s="9"/>
      <c r="E42" s="9"/>
      <c r="F42" s="9"/>
      <c r="G42" s="9"/>
      <c r="H42" s="9"/>
      <c r="I42" s="9"/>
      <c r="J42" s="9"/>
      <c r="K42" s="9"/>
      <c r="L42" s="9"/>
      <c r="M42" s="9"/>
      <c r="Q42" s="59"/>
      <c r="R42" s="50"/>
      <c r="S42" s="50"/>
      <c r="T42" s="51"/>
    </row>
    <row r="43" spans="2:20" x14ac:dyDescent="0.25">
      <c r="B43" s="65"/>
      <c r="C43" s="9"/>
      <c r="D43" s="9"/>
      <c r="E43" s="9"/>
      <c r="F43" s="9"/>
      <c r="G43" s="9"/>
      <c r="H43" s="9"/>
      <c r="I43" s="9"/>
      <c r="J43" s="9"/>
      <c r="K43" s="9"/>
      <c r="L43" s="9"/>
      <c r="M43" s="9"/>
      <c r="R43" s="51"/>
      <c r="S43" s="51"/>
      <c r="T43" s="51"/>
    </row>
    <row r="44" spans="2:20" x14ac:dyDescent="0.25">
      <c r="B44" s="12"/>
      <c r="C44" s="13"/>
      <c r="D44" s="13"/>
      <c r="E44" s="41"/>
      <c r="F44" s="15"/>
      <c r="G44" s="15"/>
      <c r="H44" s="15"/>
      <c r="I44" s="15"/>
      <c r="J44" s="15"/>
      <c r="K44" s="15"/>
      <c r="L44" s="16"/>
      <c r="M44" s="20"/>
      <c r="N44" s="18"/>
      <c r="O44" s="18"/>
      <c r="P44" s="18"/>
      <c r="Q44" s="51"/>
      <c r="R44" s="51"/>
      <c r="S44" s="51"/>
    </row>
    <row r="45" spans="2:20" x14ac:dyDescent="0.25">
      <c r="B45" s="12"/>
      <c r="C45" s="13"/>
      <c r="D45" s="13"/>
      <c r="E45" s="41"/>
      <c r="F45" s="15"/>
      <c r="G45" s="15"/>
      <c r="H45" s="15"/>
      <c r="I45" s="15"/>
      <c r="J45" s="15"/>
      <c r="K45" s="15"/>
      <c r="L45" s="16"/>
      <c r="M45" s="20"/>
      <c r="N45" s="18"/>
      <c r="O45" s="18"/>
      <c r="P45" s="18"/>
      <c r="Q45" s="51"/>
      <c r="R45" s="51"/>
      <c r="S45" s="51"/>
    </row>
    <row r="46" spans="2:20" x14ac:dyDescent="0.25">
      <c r="B46" s="12"/>
      <c r="C46" s="13"/>
      <c r="D46" s="13"/>
      <c r="E46" s="41"/>
      <c r="F46" s="15"/>
      <c r="G46" s="15"/>
      <c r="H46" s="15"/>
      <c r="I46" s="15"/>
      <c r="J46" s="15"/>
      <c r="K46" s="15"/>
      <c r="L46" s="16"/>
      <c r="M46" s="20"/>
      <c r="N46" s="18"/>
      <c r="O46" s="18"/>
      <c r="P46" s="18"/>
      <c r="Q46" s="51"/>
      <c r="R46" s="51"/>
      <c r="S46" s="51"/>
    </row>
    <row r="47" spans="2:20" x14ac:dyDescent="0.25">
      <c r="B47" s="12"/>
      <c r="C47" s="13"/>
      <c r="D47" s="13"/>
      <c r="E47" s="41"/>
      <c r="F47" s="15"/>
      <c r="G47" s="15"/>
      <c r="H47" s="15"/>
      <c r="I47" s="15"/>
      <c r="J47" s="15"/>
      <c r="K47" s="15"/>
      <c r="L47" s="16"/>
      <c r="M47" s="20"/>
      <c r="N47" s="18"/>
      <c r="O47" s="18"/>
      <c r="P47" s="18"/>
    </row>
    <row r="48" spans="2:20" ht="15" customHeight="1" x14ac:dyDescent="0.25">
      <c r="B48" s="12"/>
      <c r="C48" s="13"/>
      <c r="D48" s="13"/>
      <c r="E48" s="41"/>
      <c r="F48" s="15"/>
      <c r="G48" s="15"/>
      <c r="H48" s="15"/>
      <c r="I48" s="15"/>
      <c r="J48" s="15"/>
      <c r="K48" s="15"/>
      <c r="L48" s="33"/>
      <c r="M48" s="31"/>
      <c r="N48" s="107"/>
      <c r="O48" s="29"/>
      <c r="P48" s="18"/>
    </row>
    <row r="49" spans="2:19" ht="15" customHeight="1" x14ac:dyDescent="0.25">
      <c r="C49" s="13"/>
      <c r="D49" s="13"/>
      <c r="E49" s="41"/>
      <c r="F49" s="15"/>
      <c r="G49" s="15"/>
      <c r="H49" s="15"/>
      <c r="I49" s="15"/>
      <c r="J49" s="15"/>
      <c r="K49" s="15"/>
      <c r="L49" s="33"/>
      <c r="M49" s="31"/>
      <c r="O49" s="29"/>
      <c r="P49" s="18"/>
    </row>
    <row r="50" spans="2:19" ht="15" customHeight="1" x14ac:dyDescent="0.25">
      <c r="B50" s="12"/>
      <c r="C50" s="13"/>
      <c r="D50" s="13"/>
      <c r="E50" s="41"/>
      <c r="F50" s="15"/>
      <c r="G50" s="15"/>
      <c r="H50" s="15"/>
      <c r="I50" s="15"/>
      <c r="J50" s="15"/>
      <c r="K50" s="15"/>
      <c r="L50" s="33"/>
      <c r="M50" s="31"/>
      <c r="N50" s="107"/>
      <c r="O50" s="29"/>
      <c r="P50" s="18"/>
      <c r="Q50" s="325" t="s">
        <v>343</v>
      </c>
      <c r="R50" s="325"/>
      <c r="S50" s="327">
        <f>S16</f>
        <v>48395.63</v>
      </c>
    </row>
    <row r="51" spans="2:19" x14ac:dyDescent="0.25">
      <c r="B51" s="36"/>
      <c r="C51" s="40"/>
      <c r="D51" s="40"/>
      <c r="E51" s="41"/>
      <c r="F51" s="38"/>
      <c r="G51" s="38"/>
      <c r="H51" s="38"/>
      <c r="I51" s="38"/>
      <c r="J51" s="38"/>
      <c r="K51" s="38"/>
      <c r="L51" s="33"/>
      <c r="M51" s="31"/>
      <c r="N51" s="101"/>
    </row>
    <row r="52" spans="2:19" x14ac:dyDescent="0.25">
      <c r="B52" s="36"/>
      <c r="C52" s="40"/>
      <c r="D52" s="40"/>
      <c r="E52" s="41"/>
      <c r="F52" s="38"/>
      <c r="G52" s="38"/>
      <c r="H52" s="38"/>
      <c r="I52" s="38"/>
      <c r="J52" s="38"/>
      <c r="K52" s="38"/>
      <c r="L52" s="33"/>
      <c r="M52" s="31"/>
      <c r="N52" s="101"/>
    </row>
    <row r="53" spans="2:19" ht="16.5" customHeight="1" x14ac:dyDescent="0.25">
      <c r="B53" s="36"/>
      <c r="C53" s="40"/>
      <c r="D53" s="40"/>
      <c r="E53" s="41"/>
      <c r="F53" s="38"/>
      <c r="G53" s="38"/>
      <c r="H53" s="38"/>
      <c r="I53" s="38"/>
      <c r="J53" s="38"/>
      <c r="K53" s="38"/>
      <c r="L53" s="39"/>
      <c r="M53" s="20"/>
      <c r="N53" s="101"/>
      <c r="O53" s="101"/>
      <c r="P53" s="29"/>
    </row>
    <row r="54" spans="2:19" ht="15" hidden="1" customHeight="1" x14ac:dyDescent="0.25"/>
    <row r="55" spans="2:19" ht="15" customHeight="1" x14ac:dyDescent="0.25">
      <c r="E55" s="21"/>
      <c r="F55" s="105"/>
      <c r="G55" s="105"/>
      <c r="H55" s="105"/>
      <c r="I55" s="105"/>
      <c r="J55" s="105"/>
      <c r="K55" s="105"/>
    </row>
    <row r="58" spans="2:19" ht="15" customHeight="1" x14ac:dyDescent="0.25"/>
  </sheetData>
  <mergeCells count="7">
    <mergeCell ref="B38:H38"/>
    <mergeCell ref="B25:F25"/>
    <mergeCell ref="Q2:S2"/>
    <mergeCell ref="Q1:S1"/>
    <mergeCell ref="B20:F20"/>
    <mergeCell ref="B22:F22"/>
    <mergeCell ref="B24:F24"/>
  </mergeCells>
  <hyperlinks>
    <hyperlink ref="B25" r:id="rId1"/>
  </hyperlinks>
  <printOptions horizontalCentered="1" gridLines="1"/>
  <pageMargins left="0" right="0" top="0.75" bottom="0.75" header="0.3" footer="0.3"/>
  <pageSetup scale="50" orientation="landscape" horizontalDpi="1200" verticalDpi="1200"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0"/>
  <sheetViews>
    <sheetView topLeftCell="E26" zoomScale="120" zoomScaleNormal="120" workbookViewId="0">
      <selection activeCell="S50" sqref="S50"/>
    </sheetView>
  </sheetViews>
  <sheetFormatPr defaultColWidth="9.140625" defaultRowHeight="15" x14ac:dyDescent="0.25"/>
  <cols>
    <col min="1" max="1" width="9.140625" style="2" hidden="1" customWidth="1"/>
    <col min="2" max="2" width="58" style="2" customWidth="1"/>
    <col min="3" max="3" width="28.28515625" style="2" customWidth="1"/>
    <col min="4" max="4" width="13.7109375" style="2" customWidth="1"/>
    <col min="5" max="5" width="18.42578125" style="2" customWidth="1"/>
    <col min="6" max="6" width="21.5703125" style="2" customWidth="1"/>
    <col min="7" max="7" width="10.28515625" style="2" customWidth="1"/>
    <col min="8" max="8" width="12.85546875" style="2" customWidth="1"/>
    <col min="9" max="9" width="13.42578125" style="2" customWidth="1"/>
    <col min="10" max="10" width="15.7109375" style="2" customWidth="1"/>
    <col min="11" max="11" width="8.85546875" style="2" customWidth="1"/>
    <col min="12" max="12" width="18"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6.7109375" style="2" customWidth="1"/>
    <col min="20" max="16384" width="9.140625" style="2"/>
  </cols>
  <sheetData>
    <row r="1" spans="1:20" ht="18" customHeight="1" x14ac:dyDescent="0.25">
      <c r="A1" s="2" t="s">
        <v>342</v>
      </c>
      <c r="B1" s="1" t="s">
        <v>44</v>
      </c>
      <c r="Q1" s="335" t="s">
        <v>230</v>
      </c>
      <c r="R1" s="335"/>
      <c r="S1" s="335"/>
    </row>
    <row r="2" spans="1:20" ht="18" customHeight="1" x14ac:dyDescent="0.25">
      <c r="B2" s="90" t="s">
        <v>148</v>
      </c>
      <c r="C2" s="187">
        <v>44377</v>
      </c>
      <c r="M2" s="73"/>
      <c r="N2" s="73"/>
      <c r="P2" s="29"/>
      <c r="Q2" s="334" t="s">
        <v>338</v>
      </c>
      <c r="R2" s="334"/>
      <c r="S2" s="334"/>
    </row>
    <row r="3" spans="1:20" ht="18" customHeight="1" thickBot="1" x14ac:dyDescent="0.3">
      <c r="A3" s="2" t="s">
        <v>16</v>
      </c>
      <c r="B3" s="44" t="s">
        <v>73</v>
      </c>
      <c r="C3" s="8"/>
      <c r="D3" s="8"/>
      <c r="E3" s="8"/>
      <c r="P3" s="29"/>
      <c r="Q3" s="45"/>
      <c r="R3" s="30"/>
    </row>
    <row r="4" spans="1:20" ht="18.75" customHeight="1" x14ac:dyDescent="0.25">
      <c r="B4" s="8" t="s">
        <v>174</v>
      </c>
      <c r="M4" s="87" t="s">
        <v>28</v>
      </c>
      <c r="N4" s="87" t="s">
        <v>28</v>
      </c>
      <c r="O4" s="87" t="s">
        <v>28</v>
      </c>
      <c r="P4" s="9"/>
      <c r="Q4" s="91" t="s">
        <v>29</v>
      </c>
      <c r="R4" s="91" t="s">
        <v>31</v>
      </c>
      <c r="S4" s="91" t="s">
        <v>23</v>
      </c>
      <c r="T4" s="7"/>
    </row>
    <row r="5" spans="1:20" ht="15.75" thickBot="1" x14ac:dyDescent="0.3">
      <c r="G5" s="188" t="s">
        <v>231</v>
      </c>
      <c r="H5" s="188" t="s">
        <v>231</v>
      </c>
      <c r="M5" s="88" t="s">
        <v>27</v>
      </c>
      <c r="N5" s="88" t="s">
        <v>26</v>
      </c>
      <c r="O5" s="88" t="s">
        <v>25</v>
      </c>
      <c r="P5" s="9"/>
      <c r="Q5" s="92" t="s">
        <v>30</v>
      </c>
      <c r="R5" s="92" t="s">
        <v>30</v>
      </c>
      <c r="S5" s="92" t="s">
        <v>30</v>
      </c>
      <c r="T5" s="7"/>
    </row>
    <row r="6" spans="1:20" ht="85.5" customHeight="1" thickBot="1" x14ac:dyDescent="0.3">
      <c r="B6" s="86" t="s">
        <v>1</v>
      </c>
      <c r="C6" s="86" t="s">
        <v>127</v>
      </c>
      <c r="D6" s="86" t="s">
        <v>107</v>
      </c>
      <c r="E6" s="86" t="s">
        <v>3</v>
      </c>
      <c r="F6" s="86" t="s">
        <v>4</v>
      </c>
      <c r="G6" s="110" t="s">
        <v>136</v>
      </c>
      <c r="H6" s="110" t="s">
        <v>137</v>
      </c>
      <c r="I6" s="110" t="s">
        <v>133</v>
      </c>
      <c r="J6" s="110" t="s">
        <v>134</v>
      </c>
      <c r="K6" s="110" t="s">
        <v>121</v>
      </c>
      <c r="L6" s="85" t="s">
        <v>5</v>
      </c>
      <c r="M6" s="89" t="s">
        <v>6</v>
      </c>
      <c r="N6" s="89" t="s">
        <v>6</v>
      </c>
      <c r="O6" s="89" t="s">
        <v>6</v>
      </c>
      <c r="P6" s="9"/>
      <c r="Q6" s="93"/>
      <c r="R6" s="99" t="s">
        <v>32</v>
      </c>
      <c r="S6" s="100" t="s">
        <v>33</v>
      </c>
    </row>
    <row r="7" spans="1:20" ht="28.5" customHeight="1" x14ac:dyDescent="0.25">
      <c r="B7" s="2" t="s">
        <v>8</v>
      </c>
      <c r="C7" s="94" t="s">
        <v>106</v>
      </c>
      <c r="D7" s="94" t="s">
        <v>246</v>
      </c>
      <c r="E7" s="2" t="s">
        <v>232</v>
      </c>
      <c r="F7" s="2" t="s">
        <v>7</v>
      </c>
      <c r="G7" s="191">
        <v>2.9600000000000001E-2</v>
      </c>
      <c r="H7" s="191">
        <v>0.1744</v>
      </c>
      <c r="I7" s="192">
        <v>44377</v>
      </c>
      <c r="J7" s="192">
        <v>44378</v>
      </c>
      <c r="K7" s="192">
        <v>44013</v>
      </c>
      <c r="L7" s="193" t="s">
        <v>234</v>
      </c>
      <c r="M7" s="72">
        <v>2905.3</v>
      </c>
      <c r="N7" s="72">
        <f>2907.8-M7</f>
        <v>2.5</v>
      </c>
      <c r="O7" s="69">
        <f>M7+N7</f>
        <v>2907.8</v>
      </c>
      <c r="P7" s="42"/>
      <c r="Q7" s="43">
        <f>836.44+1484.29</f>
        <v>2320.73</v>
      </c>
      <c r="R7" s="69"/>
      <c r="S7" s="70">
        <f>Q7+R7</f>
        <v>2320.73</v>
      </c>
    </row>
    <row r="8" spans="1:20" ht="30.75" customHeight="1" x14ac:dyDescent="0.25">
      <c r="B8" s="2" t="s">
        <v>128</v>
      </c>
      <c r="C8" s="243" t="s">
        <v>122</v>
      </c>
      <c r="D8" s="95" t="s">
        <v>248</v>
      </c>
      <c r="E8" s="2" t="s">
        <v>233</v>
      </c>
      <c r="F8" s="2" t="s">
        <v>7</v>
      </c>
      <c r="G8" s="191">
        <f>+G7</f>
        <v>2.9600000000000001E-2</v>
      </c>
      <c r="H8" s="191">
        <f>+H7</f>
        <v>0.1744</v>
      </c>
      <c r="I8" s="192">
        <f>+I7</f>
        <v>44377</v>
      </c>
      <c r="J8" s="192">
        <f>+J7</f>
        <v>44378</v>
      </c>
      <c r="K8" s="192">
        <f>+K7</f>
        <v>44013</v>
      </c>
      <c r="L8" s="209" t="str">
        <f t="shared" ref="L8" si="0">+L7</f>
        <v>07/01/20 - 06/30/21</v>
      </c>
      <c r="M8" s="72">
        <v>63701.36</v>
      </c>
      <c r="N8" s="72"/>
      <c r="O8" s="69">
        <f>M8+N8</f>
        <v>63701.36</v>
      </c>
      <c r="P8" s="42"/>
      <c r="Q8" s="43">
        <v>63701.36</v>
      </c>
      <c r="R8" s="69"/>
      <c r="S8" s="70">
        <f>Q8+R8</f>
        <v>63701.36</v>
      </c>
    </row>
    <row r="9" spans="1:20" ht="33.6" customHeight="1" x14ac:dyDescent="0.25">
      <c r="B9" s="2" t="s">
        <v>241</v>
      </c>
      <c r="C9" s="243" t="s">
        <v>242</v>
      </c>
      <c r="D9" s="95" t="s">
        <v>243</v>
      </c>
      <c r="E9" s="2" t="s">
        <v>244</v>
      </c>
      <c r="F9" s="2" t="s">
        <v>7</v>
      </c>
      <c r="G9" s="191">
        <v>2.9600000000000001E-2</v>
      </c>
      <c r="H9" s="191">
        <v>0.1744</v>
      </c>
      <c r="I9" s="192">
        <v>44834</v>
      </c>
      <c r="J9" s="192">
        <v>44849</v>
      </c>
      <c r="K9" s="192">
        <v>43614</v>
      </c>
      <c r="L9" s="193" t="s">
        <v>311</v>
      </c>
      <c r="M9" s="72">
        <v>7595.2</v>
      </c>
      <c r="N9" s="72"/>
      <c r="O9" s="69">
        <f>M9+N9</f>
        <v>7595.2</v>
      </c>
      <c r="P9" s="42"/>
      <c r="Q9" s="43"/>
      <c r="R9" s="69"/>
      <c r="S9" s="70">
        <f>Q9+R9</f>
        <v>0</v>
      </c>
    </row>
    <row r="10" spans="1:20" ht="33.6" customHeight="1" x14ac:dyDescent="0.25">
      <c r="B10" s="2" t="s">
        <v>283</v>
      </c>
      <c r="C10" s="243" t="s">
        <v>264</v>
      </c>
      <c r="D10" s="95" t="s">
        <v>254</v>
      </c>
      <c r="E10" s="2" t="s">
        <v>284</v>
      </c>
      <c r="F10" s="2" t="s">
        <v>7</v>
      </c>
      <c r="G10" s="191">
        <f t="shared" ref="G10:H10" si="1">+G9</f>
        <v>2.9600000000000001E-2</v>
      </c>
      <c r="H10" s="191">
        <f t="shared" si="1"/>
        <v>0.1744</v>
      </c>
      <c r="I10" s="192">
        <v>44377</v>
      </c>
      <c r="J10" s="192">
        <v>44392</v>
      </c>
      <c r="K10" s="192">
        <v>43613</v>
      </c>
      <c r="L10" s="193" t="s">
        <v>234</v>
      </c>
      <c r="M10" s="81">
        <v>7302.48</v>
      </c>
      <c r="N10" s="69"/>
      <c r="O10" s="69">
        <f>M10+N10</f>
        <v>7302.48</v>
      </c>
      <c r="P10" s="69"/>
      <c r="Q10" s="69"/>
      <c r="R10" s="69"/>
      <c r="S10" s="70">
        <f>Q10+R10</f>
        <v>0</v>
      </c>
    </row>
    <row r="11" spans="1:20" ht="33.6" customHeight="1" x14ac:dyDescent="0.25">
      <c r="B11" s="2" t="s">
        <v>268</v>
      </c>
      <c r="C11" s="243" t="s">
        <v>269</v>
      </c>
      <c r="D11" s="95" t="s">
        <v>164</v>
      </c>
      <c r="E11" s="2" t="s">
        <v>272</v>
      </c>
      <c r="F11" s="2" t="s">
        <v>7</v>
      </c>
      <c r="G11" s="191">
        <f>+G9</f>
        <v>2.9600000000000001E-2</v>
      </c>
      <c r="H11" s="191">
        <f>+H9</f>
        <v>0.1744</v>
      </c>
      <c r="I11" s="192">
        <v>44393</v>
      </c>
      <c r="J11" s="192">
        <v>44408</v>
      </c>
      <c r="K11" s="192">
        <v>42644</v>
      </c>
      <c r="L11" s="193" t="s">
        <v>310</v>
      </c>
      <c r="M11" s="81">
        <v>37499</v>
      </c>
      <c r="N11" s="69"/>
      <c r="O11" s="69">
        <f>M11+N11</f>
        <v>37499</v>
      </c>
      <c r="P11" s="69"/>
      <c r="Q11" s="69">
        <v>31778.9</v>
      </c>
      <c r="R11" s="69"/>
      <c r="S11" s="70">
        <f>Q11+R11</f>
        <v>31778.9</v>
      </c>
    </row>
    <row r="12" spans="1:20" ht="33.6" customHeight="1" x14ac:dyDescent="0.25">
      <c r="B12" s="2" t="s">
        <v>318</v>
      </c>
      <c r="C12" s="243" t="s">
        <v>242</v>
      </c>
      <c r="D12" s="95" t="s">
        <v>243</v>
      </c>
      <c r="E12" s="2" t="s">
        <v>319</v>
      </c>
      <c r="F12" s="2" t="s">
        <v>7</v>
      </c>
      <c r="G12" s="191">
        <v>2.9600000000000001E-2</v>
      </c>
      <c r="H12" s="191">
        <v>0.1744</v>
      </c>
      <c r="I12" s="192">
        <v>44561</v>
      </c>
      <c r="J12" s="192">
        <v>44576</v>
      </c>
      <c r="K12" s="192">
        <v>43980</v>
      </c>
      <c r="L12" s="193" t="s">
        <v>320</v>
      </c>
      <c r="M12" s="81">
        <v>3000</v>
      </c>
      <c r="N12" s="69"/>
      <c r="O12" s="69">
        <f t="shared" ref="O12:O14" si="2">M12+N12</f>
        <v>3000</v>
      </c>
      <c r="P12" s="68"/>
      <c r="Q12" s="69"/>
      <c r="R12" s="69"/>
      <c r="S12" s="70">
        <f t="shared" ref="S12:S14" si="3">Q12+R12</f>
        <v>0</v>
      </c>
    </row>
    <row r="13" spans="1:20" ht="33.6" customHeight="1" x14ac:dyDescent="0.25">
      <c r="B13" s="2" t="s">
        <v>321</v>
      </c>
      <c r="C13" s="243" t="s">
        <v>264</v>
      </c>
      <c r="D13" s="95" t="s">
        <v>254</v>
      </c>
      <c r="E13" s="2" t="s">
        <v>322</v>
      </c>
      <c r="F13" s="2" t="s">
        <v>7</v>
      </c>
      <c r="G13" s="191">
        <v>2.9600000000000001E-2</v>
      </c>
      <c r="H13" s="191">
        <v>0.1744</v>
      </c>
      <c r="I13" s="192">
        <v>44742</v>
      </c>
      <c r="J13" s="192">
        <v>44757</v>
      </c>
      <c r="K13" s="192">
        <v>43979</v>
      </c>
      <c r="L13" s="193" t="s">
        <v>323</v>
      </c>
      <c r="M13" s="81">
        <v>1027</v>
      </c>
      <c r="N13" s="69"/>
      <c r="O13" s="69">
        <f t="shared" si="2"/>
        <v>1027</v>
      </c>
      <c r="P13" s="68"/>
      <c r="Q13" s="69"/>
      <c r="R13" s="69"/>
      <c r="S13" s="70">
        <f t="shared" si="3"/>
        <v>0</v>
      </c>
    </row>
    <row r="14" spans="1:20" ht="33.6" customHeight="1" x14ac:dyDescent="0.25">
      <c r="B14" s="2" t="s">
        <v>327</v>
      </c>
      <c r="C14" s="243" t="s">
        <v>242</v>
      </c>
      <c r="D14" s="95" t="s">
        <v>328</v>
      </c>
      <c r="E14" s="2" t="s">
        <v>329</v>
      </c>
      <c r="F14" s="2" t="s">
        <v>7</v>
      </c>
      <c r="G14" s="191">
        <v>2.9600000000000001E-2</v>
      </c>
      <c r="H14" s="191">
        <v>0.1744</v>
      </c>
      <c r="I14" s="192">
        <v>44440</v>
      </c>
      <c r="J14" s="192">
        <v>44440</v>
      </c>
      <c r="K14" s="192">
        <v>44201</v>
      </c>
      <c r="L14" s="193" t="s">
        <v>330</v>
      </c>
      <c r="M14" s="81">
        <v>15429.85</v>
      </c>
      <c r="N14" s="69"/>
      <c r="O14" s="69">
        <f t="shared" si="2"/>
        <v>15429.85</v>
      </c>
      <c r="P14" s="68"/>
      <c r="Q14" s="69"/>
      <c r="R14" s="69"/>
      <c r="S14" s="70">
        <f t="shared" si="3"/>
        <v>0</v>
      </c>
    </row>
    <row r="15" spans="1:20" x14ac:dyDescent="0.25">
      <c r="C15" s="95"/>
      <c r="D15" s="95"/>
      <c r="G15" s="207"/>
      <c r="H15" s="191"/>
      <c r="I15" s="192"/>
      <c r="J15" s="192"/>
      <c r="K15" s="192"/>
      <c r="L15" s="193"/>
      <c r="M15" s="25"/>
      <c r="N15" s="25"/>
      <c r="O15" s="25"/>
      <c r="P15" s="29"/>
      <c r="Q15" s="25"/>
      <c r="R15" s="25"/>
      <c r="S15" s="26"/>
    </row>
    <row r="16" spans="1:20" ht="20.25" customHeight="1" x14ac:dyDescent="0.25">
      <c r="C16" s="94"/>
      <c r="D16" s="94"/>
      <c r="I16" s="119"/>
      <c r="J16" s="119"/>
      <c r="K16" s="119"/>
      <c r="L16" s="5" t="s">
        <v>38</v>
      </c>
      <c r="M16" s="68">
        <f>SUM(M7:M15)</f>
        <v>138460.19</v>
      </c>
      <c r="N16" s="68">
        <f>SUM(N7:N15)</f>
        <v>2.5</v>
      </c>
      <c r="O16" s="68">
        <f>SUM(O7:O15)</f>
        <v>138462.69</v>
      </c>
      <c r="Q16" s="68">
        <f>SUM(Q7:Q15)</f>
        <v>97800.989999999991</v>
      </c>
      <c r="R16" s="68">
        <f>SUM(R7:R15)</f>
        <v>0</v>
      </c>
      <c r="S16" s="70">
        <f>SUM(S7:S15)</f>
        <v>97800.989999999991</v>
      </c>
    </row>
    <row r="17" spans="2:19" x14ac:dyDescent="0.25">
      <c r="C17" s="94"/>
      <c r="D17" s="94"/>
      <c r="L17" s="5"/>
      <c r="M17" s="68"/>
      <c r="N17" s="68"/>
      <c r="O17" s="68"/>
      <c r="Q17" s="68"/>
      <c r="R17" s="68"/>
      <c r="S17" s="70"/>
    </row>
    <row r="18" spans="2:19" x14ac:dyDescent="0.25">
      <c r="C18" s="94"/>
      <c r="D18" s="94"/>
      <c r="L18" s="5"/>
      <c r="M18" s="68"/>
      <c r="N18" s="68"/>
      <c r="O18" s="68"/>
      <c r="Q18" s="68"/>
      <c r="R18" s="68"/>
      <c r="S18" s="70"/>
    </row>
    <row r="19" spans="2:19" x14ac:dyDescent="0.25">
      <c r="B19" s="8" t="s">
        <v>125</v>
      </c>
      <c r="C19" s="94"/>
      <c r="D19" s="94"/>
      <c r="L19" s="5"/>
      <c r="M19" s="68"/>
      <c r="N19" s="68"/>
      <c r="O19" s="68"/>
      <c r="Q19" s="68"/>
      <c r="R19" s="68"/>
      <c r="S19" s="70"/>
    </row>
    <row r="20" spans="2:19" ht="30" customHeight="1" x14ac:dyDescent="0.25">
      <c r="B20" s="338" t="s">
        <v>126</v>
      </c>
      <c r="C20" s="338"/>
      <c r="D20" s="338"/>
      <c r="E20" s="338"/>
      <c r="F20" s="338"/>
      <c r="G20" s="120"/>
      <c r="H20" s="120"/>
      <c r="I20" s="114"/>
      <c r="L20" s="5"/>
      <c r="M20" s="68"/>
      <c r="N20" s="68"/>
      <c r="O20" s="68"/>
      <c r="Q20" s="68"/>
      <c r="R20" s="68"/>
      <c r="S20" s="70"/>
    </row>
    <row r="21" spans="2:19" x14ac:dyDescent="0.25">
      <c r="C21" s="94"/>
      <c r="D21" s="94"/>
      <c r="L21" s="5"/>
      <c r="M21" s="68"/>
      <c r="N21" s="68"/>
      <c r="O21" s="68"/>
      <c r="Q21" s="68"/>
      <c r="R21" s="68"/>
      <c r="S21" s="70"/>
    </row>
    <row r="22" spans="2:19" ht="46.5" customHeight="1" x14ac:dyDescent="0.25">
      <c r="B22" s="338" t="s">
        <v>129</v>
      </c>
      <c r="C22" s="338"/>
      <c r="D22" s="338"/>
      <c r="E22" s="338"/>
      <c r="F22" s="338"/>
      <c r="G22" s="120"/>
      <c r="H22" s="120"/>
      <c r="I22" s="114"/>
      <c r="L22" s="5"/>
      <c r="M22" s="68"/>
      <c r="N22" s="68"/>
      <c r="O22" s="68"/>
      <c r="Q22" s="68"/>
      <c r="R22" s="68"/>
      <c r="S22" s="70"/>
    </row>
    <row r="23" spans="2:19" x14ac:dyDescent="0.25">
      <c r="B23" s="111"/>
      <c r="C23" s="111"/>
      <c r="D23" s="111"/>
      <c r="E23" s="111"/>
      <c r="F23" s="111"/>
      <c r="G23" s="120"/>
      <c r="H23" s="120"/>
      <c r="I23" s="114"/>
      <c r="L23" s="5"/>
      <c r="M23" s="68"/>
      <c r="N23" s="68"/>
      <c r="O23" s="68"/>
      <c r="Q23" s="68"/>
      <c r="R23" s="68"/>
      <c r="S23" s="70"/>
    </row>
    <row r="24" spans="2:19" ht="30" customHeight="1" x14ac:dyDescent="0.25">
      <c r="B24" s="338" t="s">
        <v>160</v>
      </c>
      <c r="C24" s="338"/>
      <c r="D24" s="338"/>
      <c r="E24" s="338"/>
      <c r="F24" s="338"/>
      <c r="G24" s="198"/>
      <c r="H24" s="198"/>
      <c r="I24" s="198"/>
      <c r="L24" s="5"/>
      <c r="M24" s="68"/>
      <c r="N24" s="68"/>
      <c r="O24" s="68"/>
      <c r="Q24" s="68"/>
      <c r="R24" s="68"/>
      <c r="S24" s="70"/>
    </row>
    <row r="25" spans="2:19" ht="15" customHeight="1" x14ac:dyDescent="0.25">
      <c r="B25" s="346" t="s">
        <v>159</v>
      </c>
      <c r="C25" s="338"/>
      <c r="D25" s="338"/>
      <c r="E25" s="338"/>
      <c r="F25" s="338"/>
      <c r="G25" s="198"/>
      <c r="H25" s="198"/>
      <c r="I25" s="198"/>
      <c r="L25" s="5"/>
      <c r="M25" s="68"/>
      <c r="N25" s="68"/>
      <c r="O25" s="68"/>
      <c r="Q25" s="68"/>
      <c r="R25" s="68"/>
      <c r="S25" s="70"/>
    </row>
    <row r="26" spans="2:19" ht="15" customHeight="1" x14ac:dyDescent="0.25">
      <c r="B26" s="200"/>
      <c r="C26" s="200"/>
      <c r="D26" s="200"/>
      <c r="E26" s="200"/>
      <c r="F26" s="200"/>
      <c r="G26" s="200"/>
      <c r="H26" s="200"/>
      <c r="I26" s="200"/>
      <c r="L26" s="5"/>
      <c r="M26" s="68"/>
      <c r="N26" s="68"/>
      <c r="O26" s="68"/>
      <c r="Q26" s="68"/>
      <c r="R26" s="68"/>
      <c r="S26" s="70"/>
    </row>
    <row r="27" spans="2:19" x14ac:dyDescent="0.25">
      <c r="B27" s="7" t="s">
        <v>109</v>
      </c>
      <c r="C27" s="104" t="s">
        <v>112</v>
      </c>
      <c r="D27" s="104" t="s">
        <v>113</v>
      </c>
      <c r="E27" s="111"/>
      <c r="F27" s="111"/>
      <c r="G27" s="120"/>
      <c r="H27" s="120"/>
      <c r="I27" s="114"/>
      <c r="L27" s="5"/>
      <c r="M27" s="68"/>
      <c r="N27" s="68"/>
      <c r="O27" s="68"/>
      <c r="Q27" s="68"/>
      <c r="R27" s="68"/>
      <c r="S27" s="70"/>
    </row>
    <row r="28" spans="2:19" x14ac:dyDescent="0.25">
      <c r="B28" s="2" t="s">
        <v>110</v>
      </c>
      <c r="C28" s="94" t="s">
        <v>116</v>
      </c>
      <c r="D28" s="94" t="s">
        <v>118</v>
      </c>
      <c r="L28" s="5"/>
      <c r="M28" s="68"/>
      <c r="N28" s="68"/>
      <c r="O28" s="68"/>
      <c r="Q28" s="68"/>
      <c r="R28" s="68"/>
      <c r="S28" s="70"/>
    </row>
    <row r="29" spans="2:19" x14ac:dyDescent="0.25">
      <c r="B29" s="2" t="s">
        <v>252</v>
      </c>
      <c r="C29" s="94" t="s">
        <v>135</v>
      </c>
      <c r="D29" s="94" t="s">
        <v>147</v>
      </c>
      <c r="L29" s="5"/>
      <c r="M29" s="68"/>
      <c r="N29" s="68"/>
      <c r="O29" s="68"/>
      <c r="Q29" s="68"/>
      <c r="R29" s="68"/>
      <c r="S29" s="70"/>
    </row>
    <row r="30" spans="2:19" x14ac:dyDescent="0.25">
      <c r="B30" s="2" t="s">
        <v>260</v>
      </c>
      <c r="C30" s="94" t="s">
        <v>135</v>
      </c>
      <c r="D30" s="94" t="s">
        <v>147</v>
      </c>
      <c r="L30" s="5"/>
      <c r="M30" s="68"/>
      <c r="N30" s="68"/>
      <c r="O30" s="68"/>
      <c r="Q30" s="68"/>
      <c r="R30" s="68"/>
      <c r="S30" s="70"/>
    </row>
    <row r="31" spans="2:19" x14ac:dyDescent="0.25">
      <c r="B31" s="2" t="s">
        <v>267</v>
      </c>
      <c r="C31" s="94" t="s">
        <v>135</v>
      </c>
      <c r="D31" s="94" t="s">
        <v>147</v>
      </c>
      <c r="L31" s="5"/>
      <c r="M31" s="68"/>
      <c r="N31" s="68"/>
      <c r="O31" s="68"/>
      <c r="Q31" s="68"/>
      <c r="R31" s="68"/>
      <c r="S31" s="70"/>
    </row>
    <row r="32" spans="2:19" x14ac:dyDescent="0.25">
      <c r="B32" s="2" t="s">
        <v>318</v>
      </c>
      <c r="C32" s="94" t="s">
        <v>135</v>
      </c>
      <c r="D32" s="94" t="s">
        <v>147</v>
      </c>
      <c r="L32" s="5"/>
      <c r="M32" s="68"/>
      <c r="N32" s="68"/>
      <c r="O32" s="68"/>
      <c r="Q32" s="68"/>
      <c r="R32" s="68"/>
      <c r="S32" s="70"/>
    </row>
    <row r="33" spans="2:20" x14ac:dyDescent="0.25">
      <c r="B33" s="2" t="s">
        <v>321</v>
      </c>
      <c r="C33" s="94" t="s">
        <v>135</v>
      </c>
      <c r="D33" s="94" t="s">
        <v>147</v>
      </c>
      <c r="L33" s="5"/>
      <c r="M33" s="68"/>
      <c r="N33" s="68"/>
      <c r="O33" s="68"/>
      <c r="Q33" s="68"/>
      <c r="R33" s="68"/>
      <c r="S33" s="70"/>
    </row>
    <row r="34" spans="2:20" x14ac:dyDescent="0.25">
      <c r="B34" s="2" t="s">
        <v>326</v>
      </c>
      <c r="C34" s="94" t="s">
        <v>135</v>
      </c>
      <c r="D34" s="94" t="s">
        <v>147</v>
      </c>
      <c r="L34" s="5"/>
      <c r="M34" s="68"/>
      <c r="N34" s="68"/>
      <c r="O34" s="68"/>
      <c r="Q34" s="68"/>
      <c r="R34" s="68"/>
      <c r="S34" s="70"/>
    </row>
    <row r="35" spans="2:20" ht="15.75" x14ac:dyDescent="0.25">
      <c r="B35" s="201"/>
      <c r="C35" s="94"/>
      <c r="D35" s="94"/>
      <c r="L35" s="5"/>
      <c r="M35" s="68"/>
      <c r="N35" s="68"/>
      <c r="O35" s="68"/>
      <c r="Q35" s="68"/>
      <c r="R35" s="68"/>
      <c r="S35" s="70"/>
    </row>
    <row r="36" spans="2:20" x14ac:dyDescent="0.25">
      <c r="B36" s="347" t="s">
        <v>235</v>
      </c>
      <c r="C36" s="333"/>
      <c r="D36" s="333"/>
      <c r="E36" s="333"/>
      <c r="F36" s="333"/>
      <c r="G36" s="333"/>
      <c r="H36" s="333"/>
      <c r="L36" s="5"/>
      <c r="M36" s="68"/>
      <c r="N36" s="68"/>
      <c r="O36" s="68"/>
      <c r="Q36" s="68"/>
      <c r="R36" s="68"/>
      <c r="S36" s="70"/>
    </row>
    <row r="37" spans="2:20" x14ac:dyDescent="0.25">
      <c r="B37" s="249" t="s">
        <v>236</v>
      </c>
      <c r="C37" s="94"/>
      <c r="D37" s="94"/>
      <c r="L37" s="5"/>
      <c r="M37" s="68"/>
      <c r="N37" s="68"/>
      <c r="O37" s="68"/>
      <c r="Q37" s="68"/>
      <c r="R37" s="68"/>
      <c r="S37" s="70"/>
    </row>
    <row r="38" spans="2:20" x14ac:dyDescent="0.25">
      <c r="B38" s="10"/>
      <c r="C38" s="96"/>
      <c r="D38" s="96"/>
      <c r="E38" s="10"/>
      <c r="F38" s="10"/>
      <c r="G38" s="10"/>
      <c r="H38" s="10"/>
      <c r="I38" s="10"/>
      <c r="J38" s="10"/>
      <c r="K38" s="10"/>
      <c r="L38" s="10"/>
      <c r="M38" s="10"/>
      <c r="N38" s="29"/>
      <c r="O38" s="29"/>
      <c r="P38" s="29"/>
      <c r="Q38" s="29"/>
      <c r="R38" s="29"/>
      <c r="S38" s="27"/>
    </row>
    <row r="39" spans="2:20" ht="15" customHeight="1" x14ac:dyDescent="0.25">
      <c r="N39" s="112"/>
      <c r="O39" s="112"/>
      <c r="P39" s="112"/>
      <c r="Q39" s="171" t="s">
        <v>90</v>
      </c>
      <c r="R39" s="168"/>
      <c r="S39" s="169"/>
    </row>
    <row r="40" spans="2:20" ht="15" customHeight="1" x14ac:dyDescent="0.25">
      <c r="B40" s="17" t="s">
        <v>39</v>
      </c>
      <c r="C40" s="98" t="s">
        <v>2</v>
      </c>
      <c r="D40" s="98"/>
      <c r="E40" s="98" t="s">
        <v>34</v>
      </c>
      <c r="F40" s="98" t="s">
        <v>35</v>
      </c>
      <c r="G40" s="123"/>
      <c r="H40" s="123"/>
      <c r="I40" s="117"/>
      <c r="J40" s="98"/>
      <c r="K40" s="98"/>
      <c r="L40" s="98" t="s">
        <v>36</v>
      </c>
      <c r="M40" s="98" t="s">
        <v>37</v>
      </c>
      <c r="N40" s="47"/>
      <c r="O40" s="47"/>
      <c r="P40" s="47"/>
      <c r="Q40" s="54" t="s">
        <v>88</v>
      </c>
      <c r="R40" s="52"/>
      <c r="S40" s="53"/>
      <c r="T40" s="51"/>
    </row>
    <row r="41" spans="2:20" ht="15" customHeight="1" x14ac:dyDescent="0.25">
      <c r="B41" s="65"/>
      <c r="C41" s="9"/>
      <c r="D41" s="9"/>
      <c r="E41" s="9"/>
      <c r="F41" s="9"/>
      <c r="G41" s="9"/>
      <c r="H41" s="9"/>
      <c r="I41" s="9"/>
      <c r="J41" s="9"/>
      <c r="K41" s="9"/>
      <c r="L41" s="9"/>
      <c r="M41" s="9"/>
      <c r="N41" s="45"/>
      <c r="O41" s="45"/>
      <c r="P41" s="45"/>
      <c r="Q41" s="59"/>
      <c r="R41" s="50"/>
      <c r="S41" s="50"/>
      <c r="T41" s="51"/>
    </row>
    <row r="42" spans="2:20" x14ac:dyDescent="0.25">
      <c r="B42" s="65"/>
      <c r="C42" s="9"/>
      <c r="D42" s="9"/>
      <c r="E42" s="9"/>
      <c r="F42" s="9"/>
      <c r="G42" s="9"/>
      <c r="H42" s="9"/>
      <c r="I42" s="9"/>
      <c r="J42" s="9"/>
      <c r="K42" s="9"/>
      <c r="L42" s="9"/>
      <c r="M42" s="9"/>
      <c r="N42" s="45"/>
      <c r="O42" s="45"/>
      <c r="P42" s="45"/>
      <c r="R42" s="51"/>
      <c r="S42" s="51"/>
      <c r="T42" s="51"/>
    </row>
    <row r="43" spans="2:20" x14ac:dyDescent="0.25">
      <c r="B43" s="12"/>
      <c r="C43" s="13"/>
      <c r="D43" s="13"/>
      <c r="E43" s="41"/>
      <c r="F43" s="15"/>
      <c r="G43" s="15"/>
      <c r="H43" s="15"/>
      <c r="I43" s="15"/>
      <c r="J43" s="15"/>
      <c r="K43" s="15"/>
      <c r="L43" s="16"/>
      <c r="M43" s="20"/>
      <c r="N43" s="18"/>
      <c r="O43" s="18"/>
      <c r="P43" s="18"/>
      <c r="Q43" s="51"/>
      <c r="R43" s="51"/>
      <c r="S43" s="51"/>
      <c r="T43" s="51"/>
    </row>
    <row r="44" spans="2:20" x14ac:dyDescent="0.25">
      <c r="B44" s="12"/>
      <c r="C44" s="13"/>
      <c r="D44" s="13"/>
      <c r="E44" s="41"/>
      <c r="F44" s="15"/>
      <c r="G44" s="15"/>
      <c r="H44" s="15"/>
      <c r="I44" s="15"/>
      <c r="J44" s="15"/>
      <c r="K44" s="15"/>
      <c r="L44" s="16"/>
      <c r="M44" s="20"/>
      <c r="N44" s="18"/>
      <c r="O44" s="18"/>
      <c r="P44" s="18"/>
      <c r="Q44" s="51"/>
      <c r="R44" s="51"/>
      <c r="S44" s="51"/>
      <c r="T44" s="51"/>
    </row>
    <row r="45" spans="2:20" x14ac:dyDescent="0.25">
      <c r="B45" s="12"/>
      <c r="C45" s="13"/>
      <c r="D45" s="13"/>
      <c r="E45" s="41"/>
      <c r="F45" s="15"/>
      <c r="G45" s="15"/>
      <c r="H45" s="15"/>
      <c r="I45" s="15"/>
      <c r="J45" s="15"/>
      <c r="K45" s="15"/>
      <c r="L45" s="16"/>
      <c r="M45" s="20"/>
      <c r="N45" s="18"/>
      <c r="O45" s="18"/>
      <c r="P45" s="18"/>
      <c r="Q45" s="51"/>
      <c r="R45" s="51"/>
      <c r="S45" s="51"/>
      <c r="T45" s="51"/>
    </row>
    <row r="46" spans="2:20" x14ac:dyDescent="0.25">
      <c r="B46" s="12"/>
      <c r="C46" s="13"/>
      <c r="D46" s="13"/>
      <c r="E46" s="41"/>
      <c r="F46" s="15"/>
      <c r="G46" s="15"/>
      <c r="H46" s="15"/>
      <c r="I46" s="15"/>
      <c r="J46" s="15"/>
      <c r="K46" s="15"/>
      <c r="L46" s="16"/>
      <c r="M46" s="20"/>
      <c r="N46" s="18"/>
      <c r="O46" s="18"/>
      <c r="P46" s="18"/>
      <c r="T46" s="51"/>
    </row>
    <row r="47" spans="2:20" ht="15" customHeight="1" x14ac:dyDescent="0.25">
      <c r="B47" s="12"/>
      <c r="C47" s="13"/>
      <c r="D47" s="13"/>
      <c r="E47" s="41"/>
      <c r="F47" s="15"/>
      <c r="G47" s="15"/>
      <c r="H47" s="15"/>
      <c r="I47" s="15"/>
      <c r="J47" s="15"/>
      <c r="K47" s="15"/>
      <c r="L47" s="16"/>
      <c r="M47" s="20"/>
      <c r="N47" s="18"/>
      <c r="O47" s="18"/>
      <c r="P47" s="18"/>
    </row>
    <row r="48" spans="2:20" x14ac:dyDescent="0.25">
      <c r="B48" s="36"/>
      <c r="C48" s="40"/>
      <c r="D48" s="40"/>
      <c r="E48" s="41"/>
      <c r="F48" s="38"/>
      <c r="G48" s="38"/>
      <c r="H48" s="38"/>
      <c r="I48" s="38"/>
      <c r="J48" s="38"/>
      <c r="K48" s="38"/>
      <c r="L48" s="39"/>
      <c r="M48" s="34"/>
      <c r="N48" s="107"/>
      <c r="O48" s="29"/>
      <c r="P48" s="29"/>
    </row>
    <row r="49" spans="2:19" x14ac:dyDescent="0.25">
      <c r="C49" s="40"/>
      <c r="D49" s="40"/>
      <c r="E49" s="41"/>
      <c r="F49" s="71"/>
      <c r="G49" s="71"/>
      <c r="H49" s="71"/>
      <c r="I49" s="71"/>
      <c r="J49" s="71"/>
      <c r="K49" s="71"/>
      <c r="L49" s="33"/>
      <c r="M49" s="31"/>
      <c r="N49" s="107"/>
    </row>
    <row r="50" spans="2:19" x14ac:dyDescent="0.25">
      <c r="C50" s="40"/>
      <c r="D50" s="40"/>
      <c r="E50" s="41"/>
      <c r="F50" s="71"/>
      <c r="G50" s="71"/>
      <c r="H50" s="71"/>
      <c r="I50" s="71"/>
      <c r="J50" s="71"/>
      <c r="K50" s="71"/>
      <c r="L50" s="33"/>
      <c r="M50" s="31"/>
      <c r="N50" s="108"/>
      <c r="Q50" s="325" t="s">
        <v>343</v>
      </c>
      <c r="R50" s="325"/>
      <c r="S50" s="327">
        <f>S16</f>
        <v>97800.989999999991</v>
      </c>
    </row>
    <row r="51" spans="2:19" x14ac:dyDescent="0.25">
      <c r="C51" s="40"/>
      <c r="D51" s="40"/>
      <c r="E51" s="41"/>
      <c r="F51" s="71"/>
      <c r="G51" s="71"/>
      <c r="H51" s="71"/>
      <c r="I51" s="71"/>
      <c r="J51" s="71"/>
      <c r="K51" s="71"/>
      <c r="L51" s="33"/>
      <c r="M51" s="35"/>
      <c r="N51" s="37"/>
      <c r="O51" s="37"/>
      <c r="P51" s="29"/>
    </row>
    <row r="52" spans="2:19" ht="15" customHeight="1" x14ac:dyDescent="0.25">
      <c r="B52" s="36"/>
      <c r="C52" s="40"/>
      <c r="D52" s="40"/>
      <c r="E52" s="41"/>
      <c r="F52" s="38"/>
      <c r="G52" s="38"/>
      <c r="H52" s="38"/>
      <c r="I52" s="38"/>
      <c r="J52" s="38"/>
      <c r="K52" s="38"/>
      <c r="L52" s="33"/>
      <c r="M52" s="31"/>
      <c r="N52" s="101"/>
      <c r="O52" s="101"/>
      <c r="P52" s="29"/>
    </row>
    <row r="53" spans="2:19" x14ac:dyDescent="0.25">
      <c r="B53" s="36"/>
      <c r="C53" s="40"/>
      <c r="D53" s="40"/>
      <c r="E53" s="41"/>
      <c r="F53" s="38"/>
      <c r="G53" s="38"/>
      <c r="H53" s="38"/>
      <c r="I53" s="38"/>
      <c r="J53" s="38"/>
      <c r="K53" s="38"/>
      <c r="L53" s="33"/>
      <c r="M53" s="31"/>
      <c r="N53" s="101"/>
      <c r="O53" s="101"/>
      <c r="P53" s="29"/>
    </row>
    <row r="54" spans="2:19" x14ac:dyDescent="0.25">
      <c r="B54" s="36"/>
      <c r="C54" s="40"/>
      <c r="D54" s="40"/>
      <c r="E54" s="41"/>
      <c r="F54" s="38"/>
      <c r="G54" s="38"/>
      <c r="H54" s="38"/>
      <c r="I54" s="38"/>
      <c r="J54" s="38"/>
      <c r="K54" s="38"/>
      <c r="L54" s="33"/>
      <c r="M54" s="31"/>
      <c r="N54" s="101"/>
      <c r="O54" s="101"/>
      <c r="P54" s="29"/>
    </row>
    <row r="55" spans="2:19" ht="16.5" customHeight="1" x14ac:dyDescent="0.25">
      <c r="B55" s="36"/>
      <c r="C55" s="40"/>
      <c r="D55" s="40"/>
      <c r="E55" s="41"/>
      <c r="F55" s="38"/>
      <c r="G55" s="38"/>
      <c r="H55" s="38"/>
      <c r="I55" s="38"/>
      <c r="J55" s="38"/>
      <c r="K55" s="38"/>
      <c r="L55" s="39"/>
      <c r="M55" s="20"/>
      <c r="N55" s="101"/>
      <c r="O55" s="101"/>
      <c r="P55" s="29"/>
    </row>
    <row r="56" spans="2:19" ht="15" hidden="1" customHeight="1" x14ac:dyDescent="0.25"/>
    <row r="57" spans="2:19" ht="15" customHeight="1" x14ac:dyDescent="0.25">
      <c r="E57" s="21"/>
      <c r="F57" s="105"/>
      <c r="G57" s="105"/>
      <c r="H57" s="105"/>
      <c r="I57" s="105"/>
      <c r="J57" s="105"/>
      <c r="K57" s="105"/>
    </row>
    <row r="60" spans="2:19" ht="15" customHeight="1" x14ac:dyDescent="0.25"/>
  </sheetData>
  <mergeCells count="7">
    <mergeCell ref="B36:H36"/>
    <mergeCell ref="B25:F25"/>
    <mergeCell ref="Q2:S2"/>
    <mergeCell ref="Q1:S1"/>
    <mergeCell ref="B20:F20"/>
    <mergeCell ref="B22:F22"/>
    <mergeCell ref="B24:F24"/>
  </mergeCells>
  <hyperlinks>
    <hyperlink ref="B25" r:id="rId1"/>
  </hyperlinks>
  <printOptions horizontalCentered="1" gridLines="1"/>
  <pageMargins left="0" right="0" top="0.75" bottom="0.75" header="0.3" footer="0.3"/>
  <pageSetup scale="51" orientation="landscape" horizontalDpi="1200" verticalDpi="1200"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6"/>
  <sheetViews>
    <sheetView topLeftCell="E25" zoomScale="120" zoomScaleNormal="120" workbookViewId="0">
      <selection activeCell="S50" sqref="S50"/>
    </sheetView>
  </sheetViews>
  <sheetFormatPr defaultColWidth="9.140625" defaultRowHeight="15" x14ac:dyDescent="0.25"/>
  <cols>
    <col min="1" max="1" width="6.5703125" style="2" hidden="1" customWidth="1"/>
    <col min="2" max="2" width="58.7109375" style="2" customWidth="1"/>
    <col min="3" max="3" width="27.7109375" style="2" customWidth="1"/>
    <col min="4" max="4" width="13.7109375" style="2" customWidth="1"/>
    <col min="5" max="5" width="17.28515625" style="2" customWidth="1"/>
    <col min="6" max="6" width="22.28515625" style="2" customWidth="1"/>
    <col min="7" max="7" width="10.28515625" style="2" customWidth="1"/>
    <col min="8" max="8" width="12.85546875" style="2" customWidth="1"/>
    <col min="9" max="9" width="13.42578125" style="2" customWidth="1"/>
    <col min="10" max="10" width="15.7109375" style="2" customWidth="1"/>
    <col min="11" max="11" width="8.85546875" style="2" customWidth="1"/>
    <col min="12" max="12" width="18.425781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6.7109375" style="2" customWidth="1"/>
    <col min="20" max="16384" width="9.140625" style="2"/>
  </cols>
  <sheetData>
    <row r="1" spans="1:20" ht="18" customHeight="1" x14ac:dyDescent="0.25">
      <c r="A1" s="2" t="s">
        <v>342</v>
      </c>
      <c r="B1" s="1" t="s">
        <v>11</v>
      </c>
      <c r="Q1" s="335" t="s">
        <v>230</v>
      </c>
      <c r="R1" s="335"/>
      <c r="S1" s="335"/>
    </row>
    <row r="2" spans="1:20" ht="18" customHeight="1" x14ac:dyDescent="0.25">
      <c r="B2" s="90" t="s">
        <v>148</v>
      </c>
      <c r="C2" s="187">
        <v>44377</v>
      </c>
      <c r="M2" s="73"/>
      <c r="N2" s="73"/>
      <c r="P2" s="29"/>
      <c r="Q2" s="334" t="s">
        <v>338</v>
      </c>
      <c r="R2" s="334"/>
      <c r="S2" s="334"/>
    </row>
    <row r="3" spans="1:20" ht="18" customHeight="1" thickBot="1" x14ac:dyDescent="0.3">
      <c r="A3" s="2" t="s">
        <v>16</v>
      </c>
      <c r="B3" s="44" t="s">
        <v>63</v>
      </c>
      <c r="C3" s="8"/>
      <c r="D3" s="8"/>
      <c r="E3" s="8"/>
      <c r="P3" s="29"/>
      <c r="Q3" s="45"/>
      <c r="R3" s="30"/>
    </row>
    <row r="4" spans="1:20" ht="18.75" customHeight="1" x14ac:dyDescent="0.25">
      <c r="B4" s="8" t="s">
        <v>174</v>
      </c>
      <c r="M4" s="87" t="s">
        <v>28</v>
      </c>
      <c r="N4" s="87" t="s">
        <v>28</v>
      </c>
      <c r="O4" s="87" t="s">
        <v>28</v>
      </c>
      <c r="P4" s="9"/>
      <c r="Q4" s="91" t="s">
        <v>29</v>
      </c>
      <c r="R4" s="91" t="s">
        <v>31</v>
      </c>
      <c r="S4" s="91" t="s">
        <v>23</v>
      </c>
      <c r="T4" s="7"/>
    </row>
    <row r="5" spans="1:20" ht="15.75" thickBot="1" x14ac:dyDescent="0.3">
      <c r="G5" s="188" t="s">
        <v>231</v>
      </c>
      <c r="H5" s="188" t="s">
        <v>231</v>
      </c>
      <c r="M5" s="88" t="s">
        <v>27</v>
      </c>
      <c r="N5" s="88" t="s">
        <v>26</v>
      </c>
      <c r="O5" s="88" t="s">
        <v>25</v>
      </c>
      <c r="P5" s="9"/>
      <c r="Q5" s="92" t="s">
        <v>30</v>
      </c>
      <c r="R5" s="92" t="s">
        <v>30</v>
      </c>
      <c r="S5" s="92" t="s">
        <v>30</v>
      </c>
      <c r="T5" s="7"/>
    </row>
    <row r="6" spans="1:20" ht="85.5" customHeight="1" thickBot="1" x14ac:dyDescent="0.3">
      <c r="B6" s="86" t="s">
        <v>1</v>
      </c>
      <c r="C6" s="86" t="s">
        <v>127</v>
      </c>
      <c r="D6" s="86" t="s">
        <v>107</v>
      </c>
      <c r="E6" s="86" t="s">
        <v>3</v>
      </c>
      <c r="F6" s="86" t="s">
        <v>4</v>
      </c>
      <c r="G6" s="110" t="s">
        <v>136</v>
      </c>
      <c r="H6" s="110" t="s">
        <v>137</v>
      </c>
      <c r="I6" s="110" t="s">
        <v>133</v>
      </c>
      <c r="J6" s="110" t="s">
        <v>134</v>
      </c>
      <c r="K6" s="110" t="s">
        <v>121</v>
      </c>
      <c r="L6" s="85" t="s">
        <v>5</v>
      </c>
      <c r="M6" s="89" t="s">
        <v>6</v>
      </c>
      <c r="N6" s="89" t="s">
        <v>6</v>
      </c>
      <c r="O6" s="89" t="s">
        <v>6</v>
      </c>
      <c r="P6" s="9"/>
      <c r="Q6" s="93"/>
      <c r="R6" s="99" t="s">
        <v>32</v>
      </c>
      <c r="S6" s="100" t="s">
        <v>33</v>
      </c>
    </row>
    <row r="7" spans="1:20" ht="19.149999999999999" customHeight="1" x14ac:dyDescent="0.25">
      <c r="A7" s="2">
        <v>4201</v>
      </c>
      <c r="B7" s="2" t="s">
        <v>8</v>
      </c>
      <c r="C7" s="94" t="s">
        <v>106</v>
      </c>
      <c r="D7" s="94" t="s">
        <v>246</v>
      </c>
      <c r="E7" s="2" t="s">
        <v>232</v>
      </c>
      <c r="F7" s="2" t="s">
        <v>7</v>
      </c>
      <c r="G7" s="313">
        <v>2.9600000000000001E-2</v>
      </c>
      <c r="H7" s="313">
        <v>0.1744</v>
      </c>
      <c r="I7" s="288">
        <v>44377</v>
      </c>
      <c r="J7" s="288">
        <v>44378</v>
      </c>
      <c r="K7" s="288">
        <v>44013</v>
      </c>
      <c r="L7" s="193" t="s">
        <v>234</v>
      </c>
      <c r="M7" s="67">
        <v>65717.94</v>
      </c>
      <c r="N7" s="69">
        <f>65792.44-M7</f>
        <v>74.5</v>
      </c>
      <c r="O7" s="69">
        <f t="shared" ref="O7:O15" si="0">M7+N7</f>
        <v>65792.44</v>
      </c>
      <c r="P7" s="69"/>
      <c r="Q7" s="69">
        <f>30401.19+19273.55+15827.76</f>
        <v>65502.5</v>
      </c>
      <c r="R7" s="69"/>
      <c r="S7" s="70">
        <f t="shared" ref="S7:S15" si="1">Q7+R7</f>
        <v>65502.5</v>
      </c>
    </row>
    <row r="8" spans="1:20" ht="35.25" customHeight="1" x14ac:dyDescent="0.25">
      <c r="A8" s="2">
        <v>4253</v>
      </c>
      <c r="B8" s="2" t="s">
        <v>128</v>
      </c>
      <c r="C8" s="231" t="s">
        <v>122</v>
      </c>
      <c r="D8" s="95" t="s">
        <v>248</v>
      </c>
      <c r="E8" s="2" t="s">
        <v>233</v>
      </c>
      <c r="F8" s="2" t="s">
        <v>7</v>
      </c>
      <c r="G8" s="313">
        <f t="shared" ref="G8:J9" si="2">G7</f>
        <v>2.9600000000000001E-2</v>
      </c>
      <c r="H8" s="313">
        <f t="shared" si="2"/>
        <v>0.1744</v>
      </c>
      <c r="I8" s="288">
        <f t="shared" si="2"/>
        <v>44377</v>
      </c>
      <c r="J8" s="288">
        <f t="shared" si="2"/>
        <v>44378</v>
      </c>
      <c r="K8" s="288">
        <f>K7</f>
        <v>44013</v>
      </c>
      <c r="L8" s="193" t="str">
        <f>L7</f>
        <v>07/01/20 - 06/30/21</v>
      </c>
      <c r="M8" s="67">
        <v>14475</v>
      </c>
      <c r="N8" s="69">
        <f>1968.18</f>
        <v>1968.18</v>
      </c>
      <c r="O8" s="69">
        <f t="shared" si="0"/>
        <v>16443.18</v>
      </c>
      <c r="P8" s="69"/>
      <c r="Q8" s="69">
        <f>14475+1968.18</f>
        <v>16443.18</v>
      </c>
      <c r="R8" s="69"/>
      <c r="S8" s="70">
        <f t="shared" si="1"/>
        <v>16443.18</v>
      </c>
    </row>
    <row r="9" spans="1:20" ht="29.25" customHeight="1" x14ac:dyDescent="0.25">
      <c r="A9" s="2">
        <v>4255</v>
      </c>
      <c r="B9" s="2" t="s">
        <v>130</v>
      </c>
      <c r="C9" s="97" t="s">
        <v>131</v>
      </c>
      <c r="D9" s="95" t="s">
        <v>249</v>
      </c>
      <c r="E9" s="2" t="s">
        <v>237</v>
      </c>
      <c r="F9" s="2" t="s">
        <v>7</v>
      </c>
      <c r="G9" s="313">
        <f t="shared" si="2"/>
        <v>2.9600000000000001E-2</v>
      </c>
      <c r="H9" s="313">
        <f t="shared" si="2"/>
        <v>0.1744</v>
      </c>
      <c r="I9" s="288">
        <f t="shared" si="2"/>
        <v>44377</v>
      </c>
      <c r="J9" s="288">
        <f t="shared" si="2"/>
        <v>44378</v>
      </c>
      <c r="K9" s="288">
        <f>K8</f>
        <v>44013</v>
      </c>
      <c r="L9" s="193" t="str">
        <f>L8</f>
        <v>07/01/20 - 06/30/21</v>
      </c>
      <c r="M9" s="67">
        <v>1147.33</v>
      </c>
      <c r="N9" s="69"/>
      <c r="O9" s="69">
        <f t="shared" si="0"/>
        <v>1147.33</v>
      </c>
      <c r="P9" s="69"/>
      <c r="Q9" s="69">
        <v>1147.33</v>
      </c>
      <c r="R9" s="69"/>
      <c r="S9" s="70">
        <f t="shared" si="1"/>
        <v>1147.33</v>
      </c>
    </row>
    <row r="10" spans="1:20" ht="27" customHeight="1" x14ac:dyDescent="0.25">
      <c r="B10" s="2" t="s">
        <v>241</v>
      </c>
      <c r="C10" s="243" t="s">
        <v>242</v>
      </c>
      <c r="D10" s="95" t="s">
        <v>243</v>
      </c>
      <c r="E10" s="2" t="s">
        <v>244</v>
      </c>
      <c r="F10" s="2" t="s">
        <v>7</v>
      </c>
      <c r="G10" s="313">
        <v>2.9600000000000001E-2</v>
      </c>
      <c r="H10" s="313">
        <v>0.1744</v>
      </c>
      <c r="I10" s="288">
        <v>44834</v>
      </c>
      <c r="J10" s="288">
        <v>44849</v>
      </c>
      <c r="K10" s="288">
        <v>43614</v>
      </c>
      <c r="L10" s="193" t="s">
        <v>311</v>
      </c>
      <c r="M10" s="67">
        <v>33582.18</v>
      </c>
      <c r="N10" s="69"/>
      <c r="O10" s="69">
        <f t="shared" si="0"/>
        <v>33582.18</v>
      </c>
      <c r="P10" s="69"/>
      <c r="Q10" s="69"/>
      <c r="R10" s="69"/>
      <c r="S10" s="70">
        <f t="shared" si="1"/>
        <v>0</v>
      </c>
    </row>
    <row r="11" spans="1:20" ht="27" customHeight="1" x14ac:dyDescent="0.25">
      <c r="B11" s="2" t="s">
        <v>283</v>
      </c>
      <c r="C11" s="243" t="s">
        <v>264</v>
      </c>
      <c r="D11" s="95" t="s">
        <v>254</v>
      </c>
      <c r="E11" s="2" t="s">
        <v>284</v>
      </c>
      <c r="F11" s="2" t="s">
        <v>7</v>
      </c>
      <c r="G11" s="313">
        <f t="shared" ref="G11:H11" si="3">+G10</f>
        <v>2.9600000000000001E-2</v>
      </c>
      <c r="H11" s="313">
        <f t="shared" si="3"/>
        <v>0.1744</v>
      </c>
      <c r="I11" s="288">
        <v>44377</v>
      </c>
      <c r="J11" s="288">
        <v>44392</v>
      </c>
      <c r="K11" s="288">
        <v>43613</v>
      </c>
      <c r="L11" s="193" t="s">
        <v>234</v>
      </c>
      <c r="M11" s="81">
        <v>7302.48</v>
      </c>
      <c r="N11" s="69"/>
      <c r="O11" s="69">
        <f t="shared" si="0"/>
        <v>7302.48</v>
      </c>
      <c r="P11" s="69"/>
      <c r="Q11" s="69"/>
      <c r="R11" s="69"/>
      <c r="S11" s="70">
        <f t="shared" si="1"/>
        <v>0</v>
      </c>
    </row>
    <row r="12" spans="1:20" ht="27" customHeight="1" x14ac:dyDescent="0.25">
      <c r="B12" s="2" t="s">
        <v>314</v>
      </c>
      <c r="C12" s="243" t="s">
        <v>242</v>
      </c>
      <c r="D12" s="95" t="s">
        <v>243</v>
      </c>
      <c r="E12" s="2" t="s">
        <v>315</v>
      </c>
      <c r="F12" s="2" t="s">
        <v>7</v>
      </c>
      <c r="G12" s="313">
        <f>+G10</f>
        <v>2.9600000000000001E-2</v>
      </c>
      <c r="H12" s="313">
        <f>+H10</f>
        <v>0.1744</v>
      </c>
      <c r="I12" s="288">
        <v>44773</v>
      </c>
      <c r="J12" s="288">
        <v>44788</v>
      </c>
      <c r="K12" s="288">
        <v>43980</v>
      </c>
      <c r="L12" s="193" t="s">
        <v>316</v>
      </c>
      <c r="M12" s="81">
        <v>2714.67</v>
      </c>
      <c r="N12" s="72"/>
      <c r="O12" s="69">
        <f t="shared" si="0"/>
        <v>2714.67</v>
      </c>
      <c r="P12" s="69"/>
      <c r="Q12" s="69"/>
      <c r="R12" s="69"/>
      <c r="S12" s="70">
        <f t="shared" si="1"/>
        <v>0</v>
      </c>
    </row>
    <row r="13" spans="1:20" ht="27" customHeight="1" x14ac:dyDescent="0.25">
      <c r="B13" s="2" t="s">
        <v>318</v>
      </c>
      <c r="C13" s="243" t="s">
        <v>242</v>
      </c>
      <c r="D13" s="95" t="s">
        <v>243</v>
      </c>
      <c r="E13" s="2" t="s">
        <v>319</v>
      </c>
      <c r="F13" s="2" t="s">
        <v>7</v>
      </c>
      <c r="G13" s="191">
        <v>2.9600000000000001E-2</v>
      </c>
      <c r="H13" s="191">
        <v>0.1744</v>
      </c>
      <c r="I13" s="192">
        <v>44561</v>
      </c>
      <c r="J13" s="192">
        <v>44576</v>
      </c>
      <c r="K13" s="192">
        <v>43980</v>
      </c>
      <c r="L13" s="193" t="s">
        <v>320</v>
      </c>
      <c r="M13" s="81">
        <v>3000</v>
      </c>
      <c r="N13" s="69"/>
      <c r="O13" s="69">
        <f t="shared" si="0"/>
        <v>3000</v>
      </c>
      <c r="P13" s="68"/>
      <c r="Q13" s="69"/>
      <c r="R13" s="69"/>
      <c r="S13" s="70">
        <f t="shared" si="1"/>
        <v>0</v>
      </c>
    </row>
    <row r="14" spans="1:20" ht="27" customHeight="1" x14ac:dyDescent="0.25">
      <c r="B14" s="2" t="s">
        <v>321</v>
      </c>
      <c r="C14" s="243" t="s">
        <v>264</v>
      </c>
      <c r="D14" s="95" t="s">
        <v>254</v>
      </c>
      <c r="E14" s="2" t="s">
        <v>322</v>
      </c>
      <c r="F14" s="2" t="s">
        <v>7</v>
      </c>
      <c r="G14" s="191">
        <v>2.9600000000000001E-2</v>
      </c>
      <c r="H14" s="191">
        <v>0.1744</v>
      </c>
      <c r="I14" s="192">
        <v>44742</v>
      </c>
      <c r="J14" s="192">
        <v>44757</v>
      </c>
      <c r="K14" s="192">
        <v>43979</v>
      </c>
      <c r="L14" s="193" t="s">
        <v>323</v>
      </c>
      <c r="M14" s="81">
        <v>1027</v>
      </c>
      <c r="N14" s="69"/>
      <c r="O14" s="69">
        <f t="shared" si="0"/>
        <v>1027</v>
      </c>
      <c r="P14" s="68"/>
      <c r="Q14" s="69"/>
      <c r="R14" s="69"/>
      <c r="S14" s="70">
        <f t="shared" si="1"/>
        <v>0</v>
      </c>
    </row>
    <row r="15" spans="1:20" ht="27" customHeight="1" x14ac:dyDescent="0.25">
      <c r="B15" s="2" t="s">
        <v>327</v>
      </c>
      <c r="C15" s="243" t="s">
        <v>242</v>
      </c>
      <c r="D15" s="95" t="s">
        <v>328</v>
      </c>
      <c r="E15" s="2" t="s">
        <v>329</v>
      </c>
      <c r="F15" s="2" t="s">
        <v>7</v>
      </c>
      <c r="G15" s="191">
        <v>2.9600000000000001E-2</v>
      </c>
      <c r="H15" s="191">
        <v>0.1744</v>
      </c>
      <c r="I15" s="192">
        <v>44440</v>
      </c>
      <c r="J15" s="192">
        <v>44440</v>
      </c>
      <c r="K15" s="192">
        <v>44201</v>
      </c>
      <c r="L15" s="193" t="s">
        <v>330</v>
      </c>
      <c r="M15" s="81">
        <v>70823.02</v>
      </c>
      <c r="N15" s="69"/>
      <c r="O15" s="69">
        <f t="shared" si="0"/>
        <v>70823.02</v>
      </c>
      <c r="P15" s="68"/>
      <c r="Q15" s="69"/>
      <c r="R15" s="69"/>
      <c r="S15" s="70">
        <f t="shared" si="1"/>
        <v>0</v>
      </c>
    </row>
    <row r="16" spans="1:20" ht="15" customHeight="1" x14ac:dyDescent="0.25">
      <c r="M16" s="25"/>
      <c r="N16" s="25"/>
      <c r="O16" s="25"/>
      <c r="P16" s="29"/>
      <c r="Q16" s="25"/>
      <c r="R16" s="25"/>
      <c r="S16" s="26"/>
    </row>
    <row r="17" spans="2:19" ht="19.5" customHeight="1" x14ac:dyDescent="0.25">
      <c r="B17" s="29"/>
      <c r="C17" s="94"/>
      <c r="D17" s="94"/>
      <c r="L17" s="5" t="s">
        <v>38</v>
      </c>
      <c r="M17" s="68">
        <f>SUM(M7:M16)</f>
        <v>199789.62</v>
      </c>
      <c r="N17" s="68">
        <f>SUM(N7:N16)</f>
        <v>2042.68</v>
      </c>
      <c r="O17" s="68">
        <f>SUM(O7:O16)</f>
        <v>201832.3</v>
      </c>
      <c r="P17" s="68"/>
      <c r="Q17" s="68">
        <f>SUM(Q7:Q16)</f>
        <v>83093.009999999995</v>
      </c>
      <c r="R17" s="68">
        <f>SUM(R7:R16)</f>
        <v>0</v>
      </c>
      <c r="S17" s="23">
        <f>SUM(S7:S16)</f>
        <v>83093.009999999995</v>
      </c>
    </row>
    <row r="18" spans="2:19" x14ac:dyDescent="0.25">
      <c r="B18" s="8" t="s">
        <v>125</v>
      </c>
      <c r="C18" s="94"/>
      <c r="D18" s="94"/>
      <c r="L18" s="5"/>
      <c r="M18" s="68"/>
      <c r="N18" s="68"/>
      <c r="O18" s="68"/>
      <c r="Q18" s="68"/>
      <c r="R18" s="68"/>
      <c r="S18" s="70"/>
    </row>
    <row r="19" spans="2:19" ht="30.75" customHeight="1" x14ac:dyDescent="0.25">
      <c r="B19" s="338" t="s">
        <v>126</v>
      </c>
      <c r="C19" s="338"/>
      <c r="D19" s="338"/>
      <c r="E19" s="338"/>
      <c r="F19" s="338"/>
      <c r="G19" s="120"/>
      <c r="H19" s="120"/>
      <c r="I19" s="114"/>
      <c r="L19" s="5"/>
      <c r="M19" s="68"/>
      <c r="N19" s="68"/>
      <c r="O19" s="68"/>
      <c r="Q19" s="68"/>
      <c r="R19" s="68"/>
      <c r="S19" s="70"/>
    </row>
    <row r="20" spans="2:19" x14ac:dyDescent="0.25">
      <c r="C20" s="94"/>
      <c r="D20" s="94"/>
      <c r="L20" s="5"/>
      <c r="M20" s="68"/>
      <c r="N20" s="68"/>
      <c r="O20" s="68"/>
      <c r="Q20" s="68"/>
      <c r="R20" s="68"/>
      <c r="S20" s="70"/>
    </row>
    <row r="21" spans="2:19" ht="48" customHeight="1" x14ac:dyDescent="0.25">
      <c r="B21" s="338" t="s">
        <v>129</v>
      </c>
      <c r="C21" s="338"/>
      <c r="D21" s="338"/>
      <c r="E21" s="338"/>
      <c r="F21" s="338"/>
      <c r="G21" s="120"/>
      <c r="H21" s="120"/>
      <c r="I21" s="114"/>
      <c r="L21" s="5"/>
      <c r="M21" s="68"/>
      <c r="N21" s="68"/>
      <c r="O21" s="68"/>
      <c r="Q21" s="68"/>
      <c r="R21" s="68"/>
      <c r="S21" s="70"/>
    </row>
    <row r="22" spans="2:19" x14ac:dyDescent="0.25">
      <c r="B22" s="111"/>
      <c r="C22" s="111"/>
      <c r="D22" s="111"/>
      <c r="E22" s="111"/>
      <c r="F22" s="111"/>
      <c r="G22" s="120"/>
      <c r="H22" s="120"/>
      <c r="I22" s="114"/>
      <c r="L22" s="5"/>
      <c r="M22" s="68"/>
      <c r="N22" s="68"/>
      <c r="O22" s="68"/>
      <c r="Q22" s="68"/>
      <c r="R22" s="68"/>
      <c r="S22" s="70"/>
    </row>
    <row r="23" spans="2:19" ht="29.25" customHeight="1" x14ac:dyDescent="0.25">
      <c r="B23" s="338" t="s">
        <v>160</v>
      </c>
      <c r="C23" s="338"/>
      <c r="D23" s="338"/>
      <c r="E23" s="338"/>
      <c r="F23" s="338"/>
      <c r="G23" s="198"/>
      <c r="H23" s="198"/>
      <c r="I23" s="198"/>
      <c r="L23" s="5"/>
      <c r="M23" s="68"/>
      <c r="N23" s="68"/>
      <c r="O23" s="68"/>
      <c r="Q23" s="68"/>
      <c r="R23" s="68"/>
      <c r="S23" s="70"/>
    </row>
    <row r="24" spans="2:19" ht="15" customHeight="1" x14ac:dyDescent="0.25">
      <c r="B24" s="346" t="s">
        <v>159</v>
      </c>
      <c r="C24" s="338"/>
      <c r="D24" s="338"/>
      <c r="E24" s="338"/>
      <c r="F24" s="338"/>
      <c r="G24" s="198"/>
      <c r="H24" s="198"/>
      <c r="I24" s="198"/>
      <c r="L24" s="5"/>
      <c r="M24" s="68"/>
      <c r="N24" s="68"/>
      <c r="O24" s="68"/>
      <c r="Q24" s="68"/>
      <c r="R24" s="68"/>
      <c r="S24" s="70"/>
    </row>
    <row r="25" spans="2:19" ht="15" customHeight="1" x14ac:dyDescent="0.25">
      <c r="B25" s="200"/>
      <c r="C25" s="200"/>
      <c r="D25" s="200"/>
      <c r="E25" s="200"/>
      <c r="F25" s="200"/>
      <c r="G25" s="200"/>
      <c r="H25" s="200"/>
      <c r="I25" s="200"/>
      <c r="L25" s="5"/>
      <c r="M25" s="68"/>
      <c r="N25" s="68"/>
      <c r="O25" s="68"/>
      <c r="Q25" s="68"/>
      <c r="R25" s="68"/>
      <c r="S25" s="70"/>
    </row>
    <row r="26" spans="2:19" x14ac:dyDescent="0.25">
      <c r="B26" s="7" t="s">
        <v>109</v>
      </c>
      <c r="C26" s="104" t="s">
        <v>112</v>
      </c>
      <c r="D26" s="104" t="s">
        <v>113</v>
      </c>
      <c r="E26" s="111"/>
      <c r="F26" s="111"/>
      <c r="G26" s="120"/>
      <c r="H26" s="120"/>
      <c r="I26" s="114"/>
      <c r="L26" s="5"/>
      <c r="M26" s="68"/>
      <c r="N26" s="68"/>
      <c r="O26" s="68"/>
      <c r="Q26" s="68"/>
      <c r="R26" s="68"/>
      <c r="S26" s="70"/>
    </row>
    <row r="27" spans="2:19" x14ac:dyDescent="0.25">
      <c r="B27" s="2" t="s">
        <v>110</v>
      </c>
      <c r="C27" s="94" t="s">
        <v>116</v>
      </c>
      <c r="D27" s="94" t="s">
        <v>118</v>
      </c>
      <c r="L27" s="5"/>
      <c r="M27" s="68"/>
      <c r="N27" s="68"/>
      <c r="O27" s="68"/>
      <c r="Q27" s="68"/>
      <c r="R27" s="68"/>
      <c r="S27" s="70"/>
    </row>
    <row r="28" spans="2:19" x14ac:dyDescent="0.25">
      <c r="B28" s="2" t="s">
        <v>111</v>
      </c>
      <c r="C28" s="94" t="s">
        <v>114</v>
      </c>
      <c r="D28" s="94" t="s">
        <v>119</v>
      </c>
      <c r="L28" s="5"/>
      <c r="M28" s="68"/>
      <c r="N28" s="68"/>
      <c r="O28" s="68"/>
      <c r="Q28" s="68"/>
      <c r="R28" s="68"/>
      <c r="S28" s="70"/>
    </row>
    <row r="29" spans="2:19" x14ac:dyDescent="0.25">
      <c r="B29" s="2" t="s">
        <v>252</v>
      </c>
      <c r="C29" s="94" t="s">
        <v>135</v>
      </c>
      <c r="D29" s="94" t="s">
        <v>147</v>
      </c>
      <c r="L29" s="5"/>
      <c r="M29" s="68"/>
      <c r="N29" s="68"/>
      <c r="O29" s="68"/>
      <c r="P29" s="29"/>
      <c r="Q29" s="68"/>
      <c r="R29" s="68"/>
      <c r="S29" s="70"/>
    </row>
    <row r="30" spans="2:19" x14ac:dyDescent="0.25">
      <c r="B30" s="2" t="s">
        <v>260</v>
      </c>
      <c r="C30" s="94" t="s">
        <v>135</v>
      </c>
      <c r="D30" s="94" t="s">
        <v>147</v>
      </c>
      <c r="L30" s="5"/>
      <c r="M30" s="68"/>
      <c r="N30" s="68"/>
      <c r="O30" s="68"/>
      <c r="P30" s="29"/>
      <c r="Q30" s="68"/>
      <c r="R30" s="68"/>
      <c r="S30" s="70"/>
    </row>
    <row r="31" spans="2:19" x14ac:dyDescent="0.25">
      <c r="B31" s="2" t="s">
        <v>314</v>
      </c>
      <c r="C31" s="94" t="s">
        <v>135</v>
      </c>
      <c r="D31" s="94" t="s">
        <v>147</v>
      </c>
      <c r="L31" s="5"/>
      <c r="M31" s="68"/>
      <c r="N31" s="68"/>
      <c r="O31" s="68"/>
      <c r="P31" s="29"/>
      <c r="Q31" s="68"/>
      <c r="R31" s="68"/>
      <c r="S31" s="70"/>
    </row>
    <row r="32" spans="2:19" x14ac:dyDescent="0.25">
      <c r="B32" s="2" t="s">
        <v>318</v>
      </c>
      <c r="C32" s="94" t="s">
        <v>135</v>
      </c>
      <c r="D32" s="94" t="s">
        <v>147</v>
      </c>
      <c r="L32" s="5"/>
      <c r="M32" s="68"/>
      <c r="N32" s="68"/>
      <c r="O32" s="68"/>
      <c r="P32" s="29"/>
      <c r="Q32" s="68"/>
      <c r="R32" s="68"/>
      <c r="S32" s="70"/>
    </row>
    <row r="33" spans="2:20" x14ac:dyDescent="0.25">
      <c r="B33" s="2" t="s">
        <v>321</v>
      </c>
      <c r="C33" s="94" t="s">
        <v>135</v>
      </c>
      <c r="D33" s="94" t="s">
        <v>147</v>
      </c>
      <c r="L33" s="5"/>
      <c r="M33" s="68"/>
      <c r="N33" s="68"/>
      <c r="O33" s="68"/>
      <c r="P33" s="29"/>
      <c r="Q33" s="68"/>
      <c r="R33" s="68"/>
      <c r="S33" s="70"/>
    </row>
    <row r="34" spans="2:20" x14ac:dyDescent="0.25">
      <c r="B34" s="2" t="s">
        <v>326</v>
      </c>
      <c r="C34" s="94" t="s">
        <v>135</v>
      </c>
      <c r="D34" s="94" t="s">
        <v>147</v>
      </c>
      <c r="L34" s="5"/>
      <c r="M34" s="68"/>
      <c r="N34" s="68"/>
      <c r="O34" s="68"/>
      <c r="P34" s="29"/>
      <c r="Q34" s="68"/>
      <c r="R34" s="68"/>
      <c r="S34" s="70"/>
    </row>
    <row r="35" spans="2:20" x14ac:dyDescent="0.25">
      <c r="C35" s="94"/>
      <c r="D35" s="94"/>
      <c r="L35" s="5"/>
      <c r="M35" s="68"/>
      <c r="N35" s="68"/>
      <c r="O35" s="68"/>
      <c r="P35" s="29"/>
      <c r="Q35" s="68"/>
      <c r="R35" s="68"/>
      <c r="S35" s="70"/>
    </row>
    <row r="36" spans="2:20" x14ac:dyDescent="0.25">
      <c r="B36" s="270" t="s">
        <v>235</v>
      </c>
      <c r="C36" s="94"/>
      <c r="D36" s="94"/>
      <c r="L36" s="5"/>
      <c r="M36" s="68"/>
      <c r="N36" s="68"/>
      <c r="O36" s="68"/>
      <c r="P36" s="29"/>
      <c r="Q36" s="68"/>
      <c r="R36" s="68"/>
      <c r="S36" s="70"/>
    </row>
    <row r="37" spans="2:20" x14ac:dyDescent="0.25">
      <c r="B37" s="128" t="s">
        <v>236</v>
      </c>
      <c r="C37" s="94"/>
      <c r="D37" s="94"/>
      <c r="L37" s="5"/>
      <c r="M37" s="68"/>
      <c r="N37" s="68"/>
      <c r="O37" s="68"/>
      <c r="P37" s="29"/>
      <c r="Q37" s="68"/>
      <c r="R37" s="68"/>
      <c r="S37" s="26"/>
    </row>
    <row r="38" spans="2:20" x14ac:dyDescent="0.25">
      <c r="B38" s="178"/>
      <c r="C38" s="112"/>
      <c r="D38" s="112"/>
      <c r="E38" s="112"/>
      <c r="F38" s="112"/>
      <c r="G38" s="112"/>
      <c r="H38" s="112"/>
      <c r="I38" s="112"/>
      <c r="J38" s="112"/>
      <c r="K38" s="112"/>
      <c r="L38" s="112"/>
      <c r="M38" s="112"/>
      <c r="N38" s="163"/>
      <c r="O38" s="163"/>
      <c r="P38" s="163"/>
      <c r="Q38" s="171" t="s">
        <v>90</v>
      </c>
      <c r="R38" s="168"/>
      <c r="S38" s="169"/>
      <c r="T38" s="51"/>
    </row>
    <row r="39" spans="2:20" ht="15" customHeight="1" x14ac:dyDescent="0.25">
      <c r="B39" s="180" t="s">
        <v>39</v>
      </c>
      <c r="C39" s="162" t="s">
        <v>2</v>
      </c>
      <c r="D39" s="162"/>
      <c r="E39" s="162" t="s">
        <v>34</v>
      </c>
      <c r="F39" s="162" t="s">
        <v>35</v>
      </c>
      <c r="G39" s="162"/>
      <c r="H39" s="162"/>
      <c r="I39" s="162"/>
      <c r="J39" s="162"/>
      <c r="K39" s="162"/>
      <c r="L39" s="162" t="s">
        <v>36</v>
      </c>
      <c r="M39" s="162" t="s">
        <v>37</v>
      </c>
      <c r="N39" s="10"/>
      <c r="O39" s="10"/>
      <c r="P39" s="10"/>
      <c r="Q39" s="54" t="s">
        <v>88</v>
      </c>
      <c r="R39" s="54"/>
      <c r="S39" s="55"/>
      <c r="T39" s="51"/>
    </row>
    <row r="40" spans="2:20" ht="15" customHeight="1" x14ac:dyDescent="0.25">
      <c r="B40" s="65"/>
      <c r="C40" s="9"/>
      <c r="D40" s="9"/>
      <c r="E40" s="9"/>
      <c r="F40" s="9"/>
      <c r="G40" s="9"/>
      <c r="H40" s="9"/>
      <c r="I40" s="9"/>
      <c r="J40" s="9"/>
      <c r="K40" s="9"/>
      <c r="L40" s="9"/>
      <c r="M40" s="9"/>
      <c r="Q40" s="59"/>
      <c r="R40" s="50"/>
      <c r="S40" s="50"/>
      <c r="T40" s="51"/>
    </row>
    <row r="41" spans="2:20" ht="15" customHeight="1" x14ac:dyDescent="0.25">
      <c r="B41" s="65"/>
      <c r="C41" s="9"/>
      <c r="D41" s="9"/>
      <c r="E41" s="9"/>
      <c r="F41" s="9"/>
      <c r="G41" s="9"/>
      <c r="H41" s="9"/>
      <c r="I41" s="9"/>
      <c r="J41" s="9"/>
      <c r="K41" s="9"/>
      <c r="L41" s="9"/>
      <c r="M41" s="9"/>
      <c r="T41" s="51"/>
    </row>
    <row r="42" spans="2:20" x14ac:dyDescent="0.25">
      <c r="B42" s="12"/>
      <c r="C42" s="13"/>
      <c r="D42" s="13"/>
      <c r="E42" s="41"/>
      <c r="F42" s="15"/>
      <c r="G42" s="15"/>
      <c r="H42" s="15"/>
      <c r="I42" s="15"/>
      <c r="J42" s="15"/>
      <c r="K42" s="15"/>
      <c r="L42" s="16"/>
      <c r="M42" s="31"/>
    </row>
    <row r="43" spans="2:20" ht="15" customHeight="1" x14ac:dyDescent="0.25">
      <c r="B43" s="36"/>
      <c r="C43" s="40"/>
      <c r="D43" s="40"/>
      <c r="E43" s="41"/>
      <c r="F43" s="38"/>
      <c r="G43" s="38"/>
      <c r="H43" s="38"/>
      <c r="I43" s="38"/>
      <c r="J43" s="38"/>
      <c r="K43" s="38"/>
      <c r="L43" s="16"/>
      <c r="M43" s="34"/>
      <c r="N43" s="107"/>
      <c r="O43" s="29"/>
      <c r="P43" s="29"/>
    </row>
    <row r="44" spans="2:20" x14ac:dyDescent="0.25">
      <c r="B44" s="36"/>
      <c r="C44" s="40"/>
      <c r="D44" s="40"/>
      <c r="E44" s="41"/>
      <c r="F44" s="38"/>
      <c r="G44" s="38"/>
      <c r="H44" s="38"/>
      <c r="I44" s="38"/>
      <c r="J44" s="38"/>
      <c r="K44" s="38"/>
      <c r="L44" s="39"/>
      <c r="M44" s="34"/>
      <c r="N44" s="107"/>
      <c r="O44" s="29"/>
      <c r="P44" s="29"/>
    </row>
    <row r="45" spans="2:20" x14ac:dyDescent="0.25">
      <c r="C45" s="40"/>
      <c r="D45" s="40"/>
      <c r="E45" s="41"/>
      <c r="F45" s="71"/>
      <c r="G45" s="71"/>
      <c r="H45" s="71"/>
      <c r="I45" s="71"/>
      <c r="J45" s="71"/>
      <c r="K45" s="71"/>
      <c r="L45" s="33"/>
      <c r="M45" s="31"/>
      <c r="N45" s="107"/>
    </row>
    <row r="46" spans="2:20" x14ac:dyDescent="0.25">
      <c r="C46" s="40"/>
      <c r="D46" s="40"/>
      <c r="E46" s="41"/>
      <c r="F46" s="71"/>
      <c r="G46" s="71"/>
      <c r="H46" s="71"/>
      <c r="I46" s="71"/>
      <c r="J46" s="71"/>
      <c r="K46" s="71"/>
      <c r="L46" s="33"/>
      <c r="M46" s="31"/>
      <c r="N46" s="108"/>
    </row>
    <row r="47" spans="2:20" x14ac:dyDescent="0.25">
      <c r="C47" s="40"/>
      <c r="D47" s="40"/>
      <c r="E47" s="41"/>
      <c r="F47" s="71"/>
      <c r="G47" s="71"/>
      <c r="H47" s="71"/>
      <c r="I47" s="71"/>
      <c r="J47" s="71"/>
      <c r="K47" s="71"/>
      <c r="L47" s="33"/>
      <c r="M47" s="35"/>
      <c r="N47" s="37"/>
      <c r="O47" s="37"/>
      <c r="P47" s="29"/>
    </row>
    <row r="48" spans="2:20" ht="15" customHeight="1" x14ac:dyDescent="0.25">
      <c r="B48" s="36"/>
      <c r="C48" s="40"/>
      <c r="D48" s="40"/>
      <c r="E48" s="41"/>
      <c r="F48" s="38"/>
      <c r="G48" s="38"/>
      <c r="H48" s="38"/>
      <c r="I48" s="38"/>
      <c r="J48" s="38"/>
      <c r="K48" s="38"/>
      <c r="L48" s="33"/>
      <c r="M48" s="31"/>
      <c r="N48" s="101"/>
      <c r="O48" s="101"/>
      <c r="P48" s="29"/>
    </row>
    <row r="49" spans="2:19" x14ac:dyDescent="0.25">
      <c r="B49" s="36"/>
      <c r="C49" s="40"/>
      <c r="D49" s="40"/>
      <c r="E49" s="41"/>
      <c r="F49" s="38"/>
      <c r="G49" s="38"/>
      <c r="H49" s="38"/>
      <c r="I49" s="38"/>
      <c r="J49" s="38"/>
      <c r="K49" s="38"/>
      <c r="L49" s="33"/>
      <c r="M49" s="31"/>
      <c r="N49" s="101"/>
      <c r="O49" s="101"/>
      <c r="P49" s="29"/>
    </row>
    <row r="50" spans="2:19" x14ac:dyDescent="0.25">
      <c r="B50" s="36"/>
      <c r="C50" s="40"/>
      <c r="D50" s="40"/>
      <c r="E50" s="41"/>
      <c r="F50" s="38"/>
      <c r="G50" s="38"/>
      <c r="H50" s="38"/>
      <c r="I50" s="38"/>
      <c r="J50" s="38"/>
      <c r="K50" s="38"/>
      <c r="L50" s="33"/>
      <c r="M50" s="31"/>
      <c r="N50" s="101"/>
      <c r="O50" s="101"/>
      <c r="P50" s="29"/>
      <c r="Q50" s="325" t="s">
        <v>343</v>
      </c>
      <c r="R50" s="325"/>
      <c r="S50" s="327">
        <f>S17</f>
        <v>83093.009999999995</v>
      </c>
    </row>
    <row r="51" spans="2:19" ht="16.5" customHeight="1" x14ac:dyDescent="0.25">
      <c r="B51" s="36"/>
      <c r="C51" s="40"/>
      <c r="D51" s="40"/>
      <c r="E51" s="41"/>
      <c r="F51" s="38"/>
      <c r="G51" s="38"/>
      <c r="H51" s="38"/>
      <c r="I51" s="38"/>
      <c r="J51" s="38"/>
      <c r="K51" s="38"/>
      <c r="L51" s="39"/>
      <c r="M51" s="20"/>
      <c r="N51" s="101"/>
      <c r="O51" s="101"/>
      <c r="P51" s="29"/>
    </row>
    <row r="52" spans="2:19" ht="15" hidden="1" customHeight="1" x14ac:dyDescent="0.25"/>
    <row r="53" spans="2:19" ht="15" customHeight="1" x14ac:dyDescent="0.25">
      <c r="E53" s="21"/>
      <c r="F53" s="105"/>
      <c r="G53" s="105"/>
      <c r="H53" s="105"/>
      <c r="I53" s="105"/>
      <c r="J53" s="105"/>
      <c r="K53" s="105"/>
    </row>
    <row r="56" spans="2:19" ht="15" customHeight="1" x14ac:dyDescent="0.25"/>
  </sheetData>
  <mergeCells count="6">
    <mergeCell ref="B24:F24"/>
    <mergeCell ref="Q2:S2"/>
    <mergeCell ref="Q1:S1"/>
    <mergeCell ref="B19:F19"/>
    <mergeCell ref="B21:F21"/>
    <mergeCell ref="B23:F23"/>
  </mergeCells>
  <hyperlinks>
    <hyperlink ref="B24" r:id="rId1"/>
  </hyperlinks>
  <printOptions horizontalCentered="1" gridLines="1"/>
  <pageMargins left="0" right="0" top="0.75" bottom="0.75" header="0.3" footer="0.3"/>
  <pageSetup scale="51" orientation="landscape"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0"/>
  <sheetViews>
    <sheetView tabSelected="1" topLeftCell="E24" zoomScale="120" zoomScaleNormal="120" workbookViewId="0">
      <selection activeCell="Q50" sqref="Q50"/>
    </sheetView>
  </sheetViews>
  <sheetFormatPr defaultColWidth="9.140625" defaultRowHeight="15" x14ac:dyDescent="0.25"/>
  <cols>
    <col min="1" max="1" width="9.42578125" style="2" hidden="1" customWidth="1"/>
    <col min="2" max="2" width="58" style="2" customWidth="1"/>
    <col min="3" max="3" width="27.85546875" style="2" customWidth="1"/>
    <col min="4" max="4" width="13.7109375" style="2" customWidth="1"/>
    <col min="5" max="5" width="17" style="2" bestFit="1" customWidth="1"/>
    <col min="6" max="6" width="21" style="2" customWidth="1"/>
    <col min="7" max="7" width="10.140625" style="2" customWidth="1"/>
    <col min="8" max="8" width="12.5703125" style="2" customWidth="1"/>
    <col min="9" max="9" width="13.28515625" style="2" customWidth="1"/>
    <col min="10" max="10" width="14.7109375" style="2" customWidth="1"/>
    <col min="11" max="11" width="10.42578125" style="2" customWidth="1"/>
    <col min="12" max="12" width="17.85546875" style="2" customWidth="1"/>
    <col min="13" max="13" width="13.28515625" style="2" bestFit="1" customWidth="1"/>
    <col min="14" max="14" width="13.7109375" style="2" customWidth="1"/>
    <col min="15" max="15" width="14.42578125" style="2" customWidth="1"/>
    <col min="16" max="16" width="3.140625" style="2" customWidth="1"/>
    <col min="17" max="17" width="13.5703125" style="2" customWidth="1"/>
    <col min="18" max="18" width="14.140625" style="2" customWidth="1"/>
    <col min="19" max="19" width="16.7109375" style="2" customWidth="1"/>
    <col min="20" max="16384" width="9.140625" style="2"/>
  </cols>
  <sheetData>
    <row r="1" spans="1:20" ht="18" customHeight="1" x14ac:dyDescent="0.25">
      <c r="A1" s="2" t="s">
        <v>342</v>
      </c>
      <c r="B1" s="8" t="s">
        <v>0</v>
      </c>
      <c r="Q1" s="335" t="s">
        <v>230</v>
      </c>
      <c r="R1" s="335"/>
      <c r="S1" s="335"/>
    </row>
    <row r="2" spans="1:20" ht="18" customHeight="1" x14ac:dyDescent="0.25">
      <c r="B2" s="90" t="s">
        <v>148</v>
      </c>
      <c r="C2" s="187">
        <v>44377</v>
      </c>
      <c r="M2" s="73"/>
      <c r="N2" s="73"/>
      <c r="P2" s="29"/>
      <c r="Q2" s="334" t="s">
        <v>338</v>
      </c>
      <c r="R2" s="334"/>
      <c r="S2" s="334"/>
    </row>
    <row r="3" spans="1:20" ht="18" customHeight="1" thickBot="1" x14ac:dyDescent="0.3">
      <c r="A3" s="2" t="s">
        <v>16</v>
      </c>
      <c r="B3" s="44" t="s">
        <v>48</v>
      </c>
      <c r="C3" s="8"/>
      <c r="D3" s="8"/>
      <c r="E3" s="8"/>
      <c r="P3" s="29"/>
      <c r="Q3" s="45"/>
      <c r="R3" s="30"/>
    </row>
    <row r="4" spans="1:20" ht="18.75" customHeight="1" x14ac:dyDescent="0.25">
      <c r="B4" s="8" t="s">
        <v>174</v>
      </c>
      <c r="M4" s="87" t="s">
        <v>28</v>
      </c>
      <c r="N4" s="87" t="s">
        <v>28</v>
      </c>
      <c r="O4" s="87" t="s">
        <v>28</v>
      </c>
      <c r="P4" s="9"/>
      <c r="Q4" s="91" t="s">
        <v>29</v>
      </c>
      <c r="R4" s="91" t="s">
        <v>31</v>
      </c>
      <c r="S4" s="91" t="s">
        <v>23</v>
      </c>
      <c r="T4" s="7"/>
    </row>
    <row r="5" spans="1:20" ht="15.75" thickBot="1" x14ac:dyDescent="0.3">
      <c r="G5" s="188" t="s">
        <v>231</v>
      </c>
      <c r="H5" s="188" t="s">
        <v>231</v>
      </c>
      <c r="M5" s="88" t="s">
        <v>27</v>
      </c>
      <c r="N5" s="88" t="s">
        <v>26</v>
      </c>
      <c r="O5" s="88" t="s">
        <v>25</v>
      </c>
      <c r="P5" s="9"/>
      <c r="Q5" s="92" t="s">
        <v>30</v>
      </c>
      <c r="R5" s="92" t="s">
        <v>30</v>
      </c>
      <c r="S5" s="92" t="s">
        <v>30</v>
      </c>
      <c r="T5" s="7"/>
    </row>
    <row r="6" spans="1:20" ht="85.5" customHeight="1" thickBot="1" x14ac:dyDescent="0.3">
      <c r="B6" s="86" t="s">
        <v>1</v>
      </c>
      <c r="C6" s="86" t="s">
        <v>127</v>
      </c>
      <c r="D6" s="86" t="s">
        <v>107</v>
      </c>
      <c r="E6" s="86" t="s">
        <v>3</v>
      </c>
      <c r="F6" s="86" t="s">
        <v>4</v>
      </c>
      <c r="G6" s="110" t="s">
        <v>136</v>
      </c>
      <c r="H6" s="110" t="s">
        <v>137</v>
      </c>
      <c r="I6" s="110" t="s">
        <v>133</v>
      </c>
      <c r="J6" s="110" t="s">
        <v>134</v>
      </c>
      <c r="K6" s="110" t="s">
        <v>121</v>
      </c>
      <c r="L6" s="85" t="s">
        <v>5</v>
      </c>
      <c r="M6" s="89" t="s">
        <v>6</v>
      </c>
      <c r="N6" s="89" t="s">
        <v>6</v>
      </c>
      <c r="O6" s="89" t="s">
        <v>6</v>
      </c>
      <c r="P6" s="9"/>
      <c r="Q6" s="93"/>
      <c r="R6" s="99" t="s">
        <v>32</v>
      </c>
      <c r="S6" s="100" t="s">
        <v>33</v>
      </c>
    </row>
    <row r="7" spans="1:20" ht="30.75" customHeight="1" x14ac:dyDescent="0.25">
      <c r="A7" s="2">
        <v>4201</v>
      </c>
      <c r="B7" s="2" t="s">
        <v>8</v>
      </c>
      <c r="C7" s="94" t="s">
        <v>106</v>
      </c>
      <c r="D7" s="94" t="s">
        <v>246</v>
      </c>
      <c r="E7" s="2" t="s">
        <v>232</v>
      </c>
      <c r="F7" s="2" t="s">
        <v>7</v>
      </c>
      <c r="G7" s="191">
        <v>2.9600000000000001E-2</v>
      </c>
      <c r="H7" s="191">
        <v>0.1744</v>
      </c>
      <c r="I7" s="192">
        <v>44377</v>
      </c>
      <c r="J7" s="192">
        <v>44378</v>
      </c>
      <c r="K7" s="192">
        <v>44013</v>
      </c>
      <c r="L7" s="193" t="s">
        <v>234</v>
      </c>
      <c r="M7" s="22">
        <v>58687.06</v>
      </c>
      <c r="N7" s="68">
        <f>58737.56-M7</f>
        <v>50.5</v>
      </c>
      <c r="O7" s="68">
        <f t="shared" ref="O7:O15" si="0">M7+N7</f>
        <v>58737.56</v>
      </c>
      <c r="P7" s="69"/>
      <c r="Q7" s="68">
        <f>32759.1+13884.62+4904.02+4717.6</f>
        <v>56265.340000000004</v>
      </c>
      <c r="R7" s="68"/>
      <c r="S7" s="70">
        <f t="shared" ref="S7:S16" si="1">Q7+R7</f>
        <v>56265.340000000004</v>
      </c>
    </row>
    <row r="8" spans="1:20" ht="30.75" customHeight="1" x14ac:dyDescent="0.25">
      <c r="B8" s="2" t="s">
        <v>289</v>
      </c>
      <c r="C8" s="243" t="s">
        <v>292</v>
      </c>
      <c r="D8" s="95" t="s">
        <v>290</v>
      </c>
      <c r="E8" s="2" t="s">
        <v>291</v>
      </c>
      <c r="F8" s="2" t="s">
        <v>7</v>
      </c>
      <c r="G8" s="191">
        <f t="shared" ref="G8:H8" si="2">+G7</f>
        <v>2.9600000000000001E-2</v>
      </c>
      <c r="H8" s="191">
        <f t="shared" si="2"/>
        <v>0.1744</v>
      </c>
      <c r="I8" s="192">
        <v>44439</v>
      </c>
      <c r="J8" s="192">
        <v>44454</v>
      </c>
      <c r="K8" s="192">
        <v>44013</v>
      </c>
      <c r="L8" s="193" t="s">
        <v>331</v>
      </c>
      <c r="M8" s="22">
        <v>1800</v>
      </c>
      <c r="N8" s="68"/>
      <c r="O8" s="68">
        <f t="shared" si="0"/>
        <v>1800</v>
      </c>
      <c r="P8" s="69"/>
      <c r="Q8" s="68">
        <v>1800</v>
      </c>
      <c r="R8" s="68"/>
      <c r="S8" s="70">
        <f t="shared" si="1"/>
        <v>1800</v>
      </c>
    </row>
    <row r="9" spans="1:20" ht="31.5" customHeight="1" x14ac:dyDescent="0.25">
      <c r="B9" s="2" t="s">
        <v>128</v>
      </c>
      <c r="C9" s="97" t="s">
        <v>122</v>
      </c>
      <c r="D9" s="95" t="s">
        <v>248</v>
      </c>
      <c r="E9" s="2" t="s">
        <v>233</v>
      </c>
      <c r="F9" s="2" t="s">
        <v>7</v>
      </c>
      <c r="G9" s="191">
        <f>+G7</f>
        <v>2.9600000000000001E-2</v>
      </c>
      <c r="H9" s="191">
        <f>+H7</f>
        <v>0.1744</v>
      </c>
      <c r="I9" s="192">
        <f>+I7</f>
        <v>44377</v>
      </c>
      <c r="J9" s="192">
        <f t="shared" ref="J9:K9" si="3">+J7</f>
        <v>44378</v>
      </c>
      <c r="K9" s="192">
        <f t="shared" si="3"/>
        <v>44013</v>
      </c>
      <c r="L9" s="193" t="str">
        <f>+L7</f>
        <v>07/01/20 - 06/30/21</v>
      </c>
      <c r="M9" s="81">
        <v>3737.07</v>
      </c>
      <c r="N9" s="69"/>
      <c r="O9" s="69">
        <f t="shared" si="0"/>
        <v>3737.07</v>
      </c>
      <c r="P9" s="68"/>
      <c r="Q9" s="69">
        <v>3737.07</v>
      </c>
      <c r="R9" s="69"/>
      <c r="S9" s="70">
        <f t="shared" si="1"/>
        <v>3737.07</v>
      </c>
    </row>
    <row r="10" spans="1:20" ht="31.5" customHeight="1" x14ac:dyDescent="0.25">
      <c r="B10" s="2" t="s">
        <v>241</v>
      </c>
      <c r="C10" s="243" t="s">
        <v>242</v>
      </c>
      <c r="D10" s="95" t="s">
        <v>243</v>
      </c>
      <c r="E10" s="2" t="s">
        <v>244</v>
      </c>
      <c r="F10" s="2" t="s">
        <v>7</v>
      </c>
      <c r="G10" s="191">
        <f t="shared" ref="G10:H11" si="4">+G9</f>
        <v>2.9600000000000001E-2</v>
      </c>
      <c r="H10" s="191">
        <f t="shared" si="4"/>
        <v>0.1744</v>
      </c>
      <c r="I10" s="192">
        <v>44834</v>
      </c>
      <c r="J10" s="192">
        <v>44849</v>
      </c>
      <c r="K10" s="192">
        <v>43614</v>
      </c>
      <c r="L10" s="193" t="s">
        <v>311</v>
      </c>
      <c r="M10" s="81">
        <v>24684.400000000001</v>
      </c>
      <c r="N10" s="69"/>
      <c r="O10" s="69">
        <f t="shared" si="0"/>
        <v>24684.400000000001</v>
      </c>
      <c r="P10" s="68"/>
      <c r="Q10" s="69">
        <v>21616.35</v>
      </c>
      <c r="R10" s="69"/>
      <c r="S10" s="70">
        <f t="shared" si="1"/>
        <v>21616.35</v>
      </c>
    </row>
    <row r="11" spans="1:20" ht="31.5" customHeight="1" x14ac:dyDescent="0.25">
      <c r="B11" s="2" t="s">
        <v>283</v>
      </c>
      <c r="C11" s="243" t="s">
        <v>264</v>
      </c>
      <c r="D11" s="95" t="s">
        <v>254</v>
      </c>
      <c r="E11" s="2" t="s">
        <v>284</v>
      </c>
      <c r="F11" s="2" t="s">
        <v>7</v>
      </c>
      <c r="G11" s="191">
        <f t="shared" si="4"/>
        <v>2.9600000000000001E-2</v>
      </c>
      <c r="H11" s="191">
        <f t="shared" si="4"/>
        <v>0.1744</v>
      </c>
      <c r="I11" s="192">
        <v>44377</v>
      </c>
      <c r="J11" s="192">
        <v>44392</v>
      </c>
      <c r="K11" s="192">
        <v>43613</v>
      </c>
      <c r="L11" s="193" t="s">
        <v>234</v>
      </c>
      <c r="M11" s="81">
        <v>7302.48</v>
      </c>
      <c r="N11" s="69"/>
      <c r="O11" s="69">
        <f t="shared" si="0"/>
        <v>7302.48</v>
      </c>
      <c r="P11" s="68"/>
      <c r="Q11" s="69"/>
      <c r="R11" s="69"/>
      <c r="S11" s="70">
        <f t="shared" si="1"/>
        <v>0</v>
      </c>
    </row>
    <row r="12" spans="1:20" ht="31.5" customHeight="1" x14ac:dyDescent="0.25">
      <c r="B12" s="2" t="s">
        <v>268</v>
      </c>
      <c r="C12" s="243" t="s">
        <v>269</v>
      </c>
      <c r="D12" s="95" t="s">
        <v>164</v>
      </c>
      <c r="E12" s="2" t="s">
        <v>281</v>
      </c>
      <c r="F12" s="2" t="s">
        <v>7</v>
      </c>
      <c r="G12" s="191">
        <f t="shared" ref="G12:H14" si="5">+G10</f>
        <v>2.9600000000000001E-2</v>
      </c>
      <c r="H12" s="191">
        <f t="shared" si="5"/>
        <v>0.1744</v>
      </c>
      <c r="I12" s="192">
        <v>44393</v>
      </c>
      <c r="J12" s="192">
        <v>44408</v>
      </c>
      <c r="K12" s="192">
        <v>42644</v>
      </c>
      <c r="L12" s="193" t="s">
        <v>310</v>
      </c>
      <c r="M12" s="81">
        <v>52433</v>
      </c>
      <c r="N12" s="69"/>
      <c r="O12" s="69">
        <f t="shared" si="0"/>
        <v>52433</v>
      </c>
      <c r="P12" s="68"/>
      <c r="Q12" s="69">
        <f>12231.44+16032+2651.99+16740+2040</f>
        <v>49695.43</v>
      </c>
      <c r="R12" s="69"/>
      <c r="S12" s="70">
        <f t="shared" si="1"/>
        <v>49695.43</v>
      </c>
    </row>
    <row r="13" spans="1:20" ht="31.5" customHeight="1" x14ac:dyDescent="0.25">
      <c r="B13" s="2" t="s">
        <v>314</v>
      </c>
      <c r="C13" s="243" t="s">
        <v>242</v>
      </c>
      <c r="D13" s="95" t="s">
        <v>243</v>
      </c>
      <c r="E13" s="2" t="s">
        <v>315</v>
      </c>
      <c r="F13" s="2" t="s">
        <v>7</v>
      </c>
      <c r="G13" s="191">
        <f t="shared" si="5"/>
        <v>2.9600000000000001E-2</v>
      </c>
      <c r="H13" s="191">
        <f t="shared" si="5"/>
        <v>0.1744</v>
      </c>
      <c r="I13" s="192">
        <v>44773</v>
      </c>
      <c r="J13" s="192">
        <v>44788</v>
      </c>
      <c r="K13" s="192">
        <v>43980</v>
      </c>
      <c r="L13" s="193" t="s">
        <v>316</v>
      </c>
      <c r="M13" s="81">
        <v>905.23</v>
      </c>
      <c r="N13" s="69"/>
      <c r="O13" s="69">
        <f t="shared" si="0"/>
        <v>905.23</v>
      </c>
      <c r="P13" s="68"/>
      <c r="Q13" s="69"/>
      <c r="R13" s="69"/>
      <c r="S13" s="70">
        <f t="shared" si="1"/>
        <v>0</v>
      </c>
    </row>
    <row r="14" spans="1:20" ht="31.5" customHeight="1" x14ac:dyDescent="0.25">
      <c r="B14" s="2" t="s">
        <v>318</v>
      </c>
      <c r="C14" s="243" t="s">
        <v>242</v>
      </c>
      <c r="D14" s="95" t="s">
        <v>243</v>
      </c>
      <c r="E14" s="2" t="s">
        <v>319</v>
      </c>
      <c r="F14" s="2" t="s">
        <v>7</v>
      </c>
      <c r="G14" s="191">
        <f t="shared" si="5"/>
        <v>2.9600000000000001E-2</v>
      </c>
      <c r="H14" s="191">
        <f t="shared" si="5"/>
        <v>0.1744</v>
      </c>
      <c r="I14" s="192">
        <v>44561</v>
      </c>
      <c r="J14" s="192">
        <v>44576</v>
      </c>
      <c r="K14" s="192">
        <v>43980</v>
      </c>
      <c r="L14" s="193" t="s">
        <v>320</v>
      </c>
      <c r="M14" s="81">
        <v>3000</v>
      </c>
      <c r="N14" s="69"/>
      <c r="O14" s="69">
        <f t="shared" si="0"/>
        <v>3000</v>
      </c>
      <c r="P14" s="68"/>
      <c r="Q14" s="69"/>
      <c r="R14" s="69"/>
      <c r="S14" s="70">
        <f t="shared" si="1"/>
        <v>0</v>
      </c>
    </row>
    <row r="15" spans="1:20" ht="31.5" customHeight="1" x14ac:dyDescent="0.25">
      <c r="B15" s="2" t="s">
        <v>321</v>
      </c>
      <c r="C15" s="243" t="s">
        <v>264</v>
      </c>
      <c r="D15" s="95" t="s">
        <v>254</v>
      </c>
      <c r="E15" s="2" t="s">
        <v>322</v>
      </c>
      <c r="F15" s="2" t="s">
        <v>7</v>
      </c>
      <c r="G15" s="191">
        <v>2.9600000000000001E-2</v>
      </c>
      <c r="H15" s="191">
        <v>0.1744</v>
      </c>
      <c r="I15" s="192">
        <v>44742</v>
      </c>
      <c r="J15" s="192">
        <v>44757</v>
      </c>
      <c r="K15" s="192">
        <v>43979</v>
      </c>
      <c r="L15" s="193" t="s">
        <v>323</v>
      </c>
      <c r="M15" s="81">
        <v>1027</v>
      </c>
      <c r="N15" s="69"/>
      <c r="O15" s="69">
        <f t="shared" si="0"/>
        <v>1027</v>
      </c>
      <c r="P15" s="68"/>
      <c r="Q15" s="69"/>
      <c r="R15" s="69"/>
      <c r="S15" s="70">
        <f t="shared" si="1"/>
        <v>0</v>
      </c>
    </row>
    <row r="16" spans="1:20" ht="31.5" customHeight="1" x14ac:dyDescent="0.25">
      <c r="B16" s="2" t="s">
        <v>327</v>
      </c>
      <c r="C16" s="243" t="s">
        <v>242</v>
      </c>
      <c r="D16" s="95" t="s">
        <v>328</v>
      </c>
      <c r="E16" s="2" t="s">
        <v>329</v>
      </c>
      <c r="F16" s="2" t="s">
        <v>7</v>
      </c>
      <c r="G16" s="191">
        <v>2.9600000000000001E-2</v>
      </c>
      <c r="H16" s="191">
        <v>0.1744</v>
      </c>
      <c r="I16" s="192">
        <v>44440</v>
      </c>
      <c r="J16" s="192">
        <v>44440</v>
      </c>
      <c r="K16" s="192">
        <v>44201</v>
      </c>
      <c r="L16" s="193" t="s">
        <v>330</v>
      </c>
      <c r="M16" s="81">
        <v>35358.720000000001</v>
      </c>
      <c r="N16" s="69"/>
      <c r="O16" s="69">
        <f t="shared" ref="O16" si="6">M16+N16</f>
        <v>35358.720000000001</v>
      </c>
      <c r="P16" s="68"/>
      <c r="Q16" s="69"/>
      <c r="R16" s="69"/>
      <c r="S16" s="70">
        <f t="shared" si="1"/>
        <v>0</v>
      </c>
    </row>
    <row r="17" spans="2:20" x14ac:dyDescent="0.25">
      <c r="C17" s="95"/>
      <c r="D17" s="95"/>
      <c r="I17" s="119"/>
      <c r="J17" s="119"/>
      <c r="K17" s="119"/>
      <c r="L17" s="95"/>
      <c r="M17" s="76"/>
      <c r="N17" s="25"/>
      <c r="O17" s="25"/>
      <c r="P17" s="68"/>
      <c r="Q17" s="25"/>
      <c r="R17" s="25"/>
      <c r="S17" s="26"/>
    </row>
    <row r="18" spans="2:20" ht="24.75" customHeight="1" x14ac:dyDescent="0.25">
      <c r="C18" s="95"/>
      <c r="D18" s="95"/>
      <c r="L18" s="21" t="s">
        <v>38</v>
      </c>
      <c r="M18" s="68">
        <f>SUM(M7:M17)</f>
        <v>188934.96000000002</v>
      </c>
      <c r="N18" s="68">
        <f>SUM(N7:N17)</f>
        <v>50.5</v>
      </c>
      <c r="O18" s="68">
        <f>SUM(O7:O17)</f>
        <v>188985.46000000002</v>
      </c>
      <c r="P18" s="68"/>
      <c r="Q18" s="68">
        <f>SUM(Q7:Q17)</f>
        <v>133114.19</v>
      </c>
      <c r="R18" s="68">
        <f>SUM(R7:R17)</f>
        <v>0</v>
      </c>
      <c r="S18" s="23">
        <f>SUM(S7:S17)</f>
        <v>133114.19</v>
      </c>
      <c r="T18" s="68"/>
    </row>
    <row r="19" spans="2:20" x14ac:dyDescent="0.25">
      <c r="C19" s="95"/>
      <c r="D19" s="95"/>
      <c r="L19" s="21"/>
      <c r="M19" s="68"/>
      <c r="N19" s="68"/>
      <c r="O19" s="68"/>
      <c r="P19" s="68"/>
      <c r="Q19" s="68"/>
      <c r="R19" s="68"/>
      <c r="S19" s="70"/>
      <c r="T19" s="68"/>
    </row>
    <row r="20" spans="2:20" x14ac:dyDescent="0.25">
      <c r="B20" s="8" t="s">
        <v>125</v>
      </c>
      <c r="C20" s="95"/>
      <c r="D20" s="95"/>
      <c r="L20" s="21"/>
      <c r="M20" s="68"/>
      <c r="N20" s="68"/>
      <c r="O20" s="68"/>
      <c r="P20" s="68"/>
      <c r="Q20" s="68"/>
      <c r="R20" s="68"/>
      <c r="S20" s="70"/>
      <c r="T20" s="68"/>
    </row>
    <row r="21" spans="2:20" ht="33" customHeight="1" x14ac:dyDescent="0.25">
      <c r="B21" s="336" t="s">
        <v>126</v>
      </c>
      <c r="C21" s="337"/>
      <c r="D21" s="337"/>
      <c r="E21" s="337"/>
      <c r="F21" s="337"/>
      <c r="G21" s="121"/>
      <c r="H21" s="121"/>
      <c r="I21" s="115"/>
      <c r="S21" s="27"/>
    </row>
    <row r="22" spans="2:20" x14ac:dyDescent="0.25">
      <c r="C22" s="95"/>
      <c r="D22" s="95"/>
      <c r="S22" s="27"/>
    </row>
    <row r="23" spans="2:20" ht="45" customHeight="1" x14ac:dyDescent="0.25">
      <c r="B23" s="338" t="s">
        <v>129</v>
      </c>
      <c r="C23" s="338"/>
      <c r="D23" s="338"/>
      <c r="E23" s="338"/>
      <c r="F23" s="338"/>
      <c r="G23" s="120"/>
      <c r="H23" s="120"/>
      <c r="I23" s="114"/>
      <c r="S23" s="27"/>
    </row>
    <row r="24" spans="2:20" x14ac:dyDescent="0.25">
      <c r="B24" s="198"/>
      <c r="C24" s="198"/>
      <c r="D24" s="198"/>
      <c r="E24" s="198"/>
      <c r="F24" s="198"/>
      <c r="G24" s="198"/>
      <c r="H24" s="198"/>
      <c r="I24" s="198"/>
      <c r="S24" s="27"/>
    </row>
    <row r="25" spans="2:20" ht="31.5" customHeight="1" x14ac:dyDescent="0.25">
      <c r="B25" s="338" t="s">
        <v>160</v>
      </c>
      <c r="C25" s="338"/>
      <c r="D25" s="338"/>
      <c r="E25" s="338"/>
      <c r="F25" s="338"/>
      <c r="S25" s="27"/>
    </row>
    <row r="26" spans="2:20" x14ac:dyDescent="0.25">
      <c r="B26" s="197" t="s">
        <v>159</v>
      </c>
      <c r="C26" s="95"/>
      <c r="D26" s="95"/>
      <c r="S26" s="27"/>
    </row>
    <row r="27" spans="2:20" x14ac:dyDescent="0.25">
      <c r="B27" s="197"/>
      <c r="C27" s="95"/>
      <c r="D27" s="95"/>
      <c r="S27" s="27"/>
    </row>
    <row r="28" spans="2:20" x14ac:dyDescent="0.25">
      <c r="B28" s="7" t="s">
        <v>109</v>
      </c>
      <c r="C28" s="104" t="s">
        <v>112</v>
      </c>
      <c r="D28" s="104" t="s">
        <v>113</v>
      </c>
      <c r="S28" s="27"/>
    </row>
    <row r="29" spans="2:20" x14ac:dyDescent="0.25">
      <c r="B29" s="2" t="s">
        <v>110</v>
      </c>
      <c r="C29" s="94" t="s">
        <v>116</v>
      </c>
      <c r="D29" s="94" t="s">
        <v>118</v>
      </c>
      <c r="S29" s="27"/>
    </row>
    <row r="30" spans="2:20" x14ac:dyDescent="0.25">
      <c r="B30" s="2" t="s">
        <v>111</v>
      </c>
      <c r="C30" s="94" t="s">
        <v>114</v>
      </c>
      <c r="D30" s="94" t="s">
        <v>119</v>
      </c>
      <c r="S30" s="27"/>
    </row>
    <row r="31" spans="2:20" x14ac:dyDescent="0.25">
      <c r="B31" s="2" t="s">
        <v>252</v>
      </c>
      <c r="C31" s="94" t="s">
        <v>135</v>
      </c>
      <c r="D31" s="94" t="s">
        <v>147</v>
      </c>
      <c r="S31" s="27"/>
    </row>
    <row r="32" spans="2:20" x14ac:dyDescent="0.25">
      <c r="B32" s="2" t="s">
        <v>260</v>
      </c>
      <c r="C32" s="94" t="s">
        <v>135</v>
      </c>
      <c r="D32" s="94" t="s">
        <v>147</v>
      </c>
      <c r="S32" s="27"/>
    </row>
    <row r="33" spans="2:20" x14ac:dyDescent="0.25">
      <c r="B33" s="2" t="s">
        <v>267</v>
      </c>
      <c r="C33" s="94" t="s">
        <v>135</v>
      </c>
      <c r="D33" s="94" t="s">
        <v>147</v>
      </c>
      <c r="S33" s="27"/>
    </row>
    <row r="34" spans="2:20" x14ac:dyDescent="0.25">
      <c r="B34" s="2" t="s">
        <v>314</v>
      </c>
      <c r="C34" s="94" t="s">
        <v>135</v>
      </c>
      <c r="D34" s="94" t="s">
        <v>147</v>
      </c>
      <c r="S34" s="27"/>
    </row>
    <row r="35" spans="2:20" x14ac:dyDescent="0.25">
      <c r="B35" s="2" t="s">
        <v>318</v>
      </c>
      <c r="C35" s="94" t="s">
        <v>135</v>
      </c>
      <c r="D35" s="94" t="s">
        <v>147</v>
      </c>
      <c r="S35" s="27"/>
    </row>
    <row r="36" spans="2:20" x14ac:dyDescent="0.25">
      <c r="B36" s="2" t="s">
        <v>321</v>
      </c>
      <c r="C36" s="94" t="s">
        <v>135</v>
      </c>
      <c r="D36" s="94" t="s">
        <v>147</v>
      </c>
      <c r="S36" s="27"/>
    </row>
    <row r="37" spans="2:20" x14ac:dyDescent="0.25">
      <c r="B37" s="2" t="s">
        <v>326</v>
      </c>
      <c r="C37" s="94" t="s">
        <v>135</v>
      </c>
      <c r="D37" s="94" t="s">
        <v>147</v>
      </c>
      <c r="S37" s="27"/>
    </row>
    <row r="38" spans="2:20" x14ac:dyDescent="0.25">
      <c r="C38" s="94"/>
      <c r="D38" s="94"/>
      <c r="S38" s="27"/>
    </row>
    <row r="39" spans="2:20" x14ac:dyDescent="0.25">
      <c r="B39" s="333" t="s">
        <v>235</v>
      </c>
      <c r="C39" s="333"/>
      <c r="D39" s="333"/>
      <c r="E39" s="333"/>
      <c r="F39" s="333"/>
      <c r="G39" s="333"/>
      <c r="H39" s="333"/>
      <c r="S39" s="27"/>
    </row>
    <row r="40" spans="2:20" x14ac:dyDescent="0.25">
      <c r="B40" s="249" t="s">
        <v>236</v>
      </c>
      <c r="C40" s="94"/>
      <c r="D40" s="94"/>
      <c r="S40" s="27"/>
    </row>
    <row r="41" spans="2:20" x14ac:dyDescent="0.25">
      <c r="B41" s="128"/>
      <c r="C41" s="94"/>
      <c r="D41" s="94"/>
      <c r="S41" s="27"/>
    </row>
    <row r="42" spans="2:20" ht="15" customHeight="1" x14ac:dyDescent="0.25">
      <c r="B42" s="112"/>
      <c r="C42" s="112"/>
      <c r="D42" s="112"/>
      <c r="E42" s="112"/>
      <c r="F42" s="112"/>
      <c r="G42" s="112"/>
      <c r="H42" s="112"/>
      <c r="I42" s="112"/>
      <c r="J42" s="112"/>
      <c r="K42" s="112"/>
      <c r="L42" s="112"/>
      <c r="M42" s="112"/>
      <c r="N42" s="112"/>
      <c r="O42" s="112"/>
      <c r="P42" s="112"/>
      <c r="Q42" s="168" t="s">
        <v>89</v>
      </c>
      <c r="R42" s="168"/>
      <c r="S42" s="169"/>
    </row>
    <row r="43" spans="2:20" ht="15" customHeight="1" x14ac:dyDescent="0.25">
      <c r="B43" s="17" t="s">
        <v>39</v>
      </c>
      <c r="C43" s="98" t="s">
        <v>2</v>
      </c>
      <c r="D43" s="98"/>
      <c r="E43" s="162" t="s">
        <v>34</v>
      </c>
      <c r="F43" s="162" t="s">
        <v>35</v>
      </c>
      <c r="G43" s="162"/>
      <c r="H43" s="162"/>
      <c r="I43" s="162"/>
      <c r="J43" s="162"/>
      <c r="K43" s="162"/>
      <c r="L43" s="162" t="s">
        <v>36</v>
      </c>
      <c r="M43" s="162" t="s">
        <v>37</v>
      </c>
      <c r="N43" s="47"/>
      <c r="O43" s="47"/>
      <c r="P43" s="47"/>
      <c r="Q43" s="54" t="s">
        <v>88</v>
      </c>
      <c r="R43" s="52"/>
      <c r="S43" s="53"/>
      <c r="T43" s="51"/>
    </row>
    <row r="44" spans="2:20" x14ac:dyDescent="0.25">
      <c r="B44" s="65"/>
      <c r="C44" s="9"/>
      <c r="D44" s="9"/>
      <c r="E44" s="9"/>
      <c r="F44" s="9"/>
      <c r="G44" s="9"/>
      <c r="H44" s="9"/>
      <c r="I44" s="9"/>
      <c r="J44" s="9"/>
      <c r="K44" s="9"/>
      <c r="L44" s="9"/>
      <c r="M44" s="9"/>
      <c r="N44" s="45"/>
      <c r="O44" s="45"/>
      <c r="P44" s="45"/>
      <c r="T44" s="51"/>
    </row>
    <row r="45" spans="2:20" x14ac:dyDescent="0.25">
      <c r="B45" s="65"/>
      <c r="C45" s="9"/>
      <c r="D45" s="9"/>
      <c r="E45" s="9"/>
      <c r="F45" s="9"/>
      <c r="G45" s="9"/>
      <c r="H45" s="9"/>
      <c r="I45" s="9"/>
      <c r="J45" s="9"/>
      <c r="K45" s="9"/>
      <c r="L45" s="9"/>
      <c r="M45" s="9"/>
      <c r="N45" s="45"/>
      <c r="O45" s="45"/>
      <c r="P45" s="45"/>
      <c r="Q45" s="49"/>
      <c r="R45" s="50"/>
      <c r="S45" s="50"/>
      <c r="T45" s="51"/>
    </row>
    <row r="46" spans="2:20" x14ac:dyDescent="0.25">
      <c r="B46" s="11"/>
      <c r="C46" s="9"/>
      <c r="D46" s="9"/>
      <c r="E46" s="9"/>
      <c r="R46" s="51"/>
      <c r="S46" s="51"/>
      <c r="T46" s="51"/>
    </row>
    <row r="50" spans="17:19" s="14" customFormat="1" x14ac:dyDescent="0.25">
      <c r="Q50" s="325" t="s">
        <v>343</v>
      </c>
      <c r="R50" s="325"/>
      <c r="S50" s="326">
        <f>S18</f>
        <v>133114.19</v>
      </c>
    </row>
  </sheetData>
  <mergeCells count="6">
    <mergeCell ref="B39:H39"/>
    <mergeCell ref="Q2:S2"/>
    <mergeCell ref="Q1:S1"/>
    <mergeCell ref="B21:F21"/>
    <mergeCell ref="B23:F23"/>
    <mergeCell ref="B25:F25"/>
  </mergeCells>
  <hyperlinks>
    <hyperlink ref="B26" r:id="rId1"/>
  </hyperlinks>
  <printOptions horizontalCentered="1" gridLines="1"/>
  <pageMargins left="0" right="0" top="0.75" bottom="0.75" header="0.3" footer="0.3"/>
  <pageSetup paperSize="5" scale="60" orientation="landscape" horizontalDpi="1200" verticalDpi="1200"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1"/>
  <sheetViews>
    <sheetView topLeftCell="F27" zoomScale="130" zoomScaleNormal="130" workbookViewId="0">
      <selection activeCell="S50" sqref="S50"/>
    </sheetView>
  </sheetViews>
  <sheetFormatPr defaultColWidth="9.140625" defaultRowHeight="15" x14ac:dyDescent="0.25"/>
  <cols>
    <col min="1" max="1" width="9.140625" style="2" hidden="1" customWidth="1"/>
    <col min="2" max="2" width="58.5703125" style="2" customWidth="1"/>
    <col min="3" max="3" width="26.140625" style="2" customWidth="1"/>
    <col min="4" max="4" width="13.7109375" style="2" customWidth="1"/>
    <col min="5" max="5" width="17.5703125" style="2" customWidth="1"/>
    <col min="6" max="6" width="22" style="2" customWidth="1"/>
    <col min="7" max="7" width="10.28515625" style="2" customWidth="1"/>
    <col min="8" max="8" width="12.85546875" style="2" customWidth="1"/>
    <col min="9" max="9" width="13.42578125" style="2" customWidth="1"/>
    <col min="10" max="10" width="15.7109375" style="2" customWidth="1"/>
    <col min="11" max="11" width="8.85546875" style="2" customWidth="1"/>
    <col min="12" max="12" width="17.710937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6.7109375" style="2" customWidth="1"/>
    <col min="20" max="16384" width="9.140625" style="2"/>
  </cols>
  <sheetData>
    <row r="1" spans="1:20" ht="18" customHeight="1" x14ac:dyDescent="0.25">
      <c r="A1" s="2" t="s">
        <v>342</v>
      </c>
      <c r="B1" s="1" t="s">
        <v>214</v>
      </c>
      <c r="Q1" s="335" t="s">
        <v>230</v>
      </c>
      <c r="R1" s="335"/>
      <c r="S1" s="335"/>
    </row>
    <row r="2" spans="1:20" ht="18" customHeight="1" x14ac:dyDescent="0.25">
      <c r="B2" s="90" t="s">
        <v>148</v>
      </c>
      <c r="C2" s="187">
        <v>44377</v>
      </c>
      <c r="M2" s="73"/>
      <c r="N2" s="73"/>
      <c r="P2" s="29"/>
      <c r="Q2" s="334" t="s">
        <v>338</v>
      </c>
      <c r="R2" s="334"/>
      <c r="S2" s="334"/>
    </row>
    <row r="3" spans="1:20" ht="18" customHeight="1" thickBot="1" x14ac:dyDescent="0.3">
      <c r="A3" s="2" t="s">
        <v>16</v>
      </c>
      <c r="B3" s="44" t="s">
        <v>61</v>
      </c>
      <c r="C3" s="8"/>
      <c r="D3" s="8"/>
      <c r="E3" s="8"/>
      <c r="P3" s="29"/>
      <c r="Q3" s="45"/>
      <c r="R3" s="30"/>
    </row>
    <row r="4" spans="1:20" ht="18.75" customHeight="1" x14ac:dyDescent="0.25">
      <c r="B4" s="8" t="s">
        <v>174</v>
      </c>
      <c r="M4" s="87" t="s">
        <v>28</v>
      </c>
      <c r="N4" s="87" t="s">
        <v>28</v>
      </c>
      <c r="O4" s="87" t="s">
        <v>28</v>
      </c>
      <c r="P4" s="9"/>
      <c r="Q4" s="91" t="s">
        <v>29</v>
      </c>
      <c r="R4" s="91" t="s">
        <v>31</v>
      </c>
      <c r="S4" s="91" t="s">
        <v>23</v>
      </c>
      <c r="T4" s="7"/>
    </row>
    <row r="5" spans="1:20" ht="15.75" thickBot="1" x14ac:dyDescent="0.3">
      <c r="G5" s="188" t="s">
        <v>231</v>
      </c>
      <c r="H5" s="188" t="s">
        <v>231</v>
      </c>
      <c r="M5" s="88" t="s">
        <v>27</v>
      </c>
      <c r="N5" s="88" t="s">
        <v>26</v>
      </c>
      <c r="O5" s="88" t="s">
        <v>25</v>
      </c>
      <c r="P5" s="9"/>
      <c r="Q5" s="92" t="s">
        <v>30</v>
      </c>
      <c r="R5" s="92" t="s">
        <v>30</v>
      </c>
      <c r="S5" s="92" t="s">
        <v>30</v>
      </c>
      <c r="T5" s="7"/>
    </row>
    <row r="6" spans="1:20" ht="85.5" customHeight="1" thickBot="1" x14ac:dyDescent="0.3">
      <c r="B6" s="86" t="s">
        <v>1</v>
      </c>
      <c r="C6" s="86" t="s">
        <v>127</v>
      </c>
      <c r="D6" s="86" t="s">
        <v>107</v>
      </c>
      <c r="E6" s="86" t="s">
        <v>3</v>
      </c>
      <c r="F6" s="86" t="s">
        <v>4</v>
      </c>
      <c r="G6" s="110" t="s">
        <v>136</v>
      </c>
      <c r="H6" s="110" t="s">
        <v>137</v>
      </c>
      <c r="I6" s="110" t="s">
        <v>133</v>
      </c>
      <c r="J6" s="110" t="s">
        <v>134</v>
      </c>
      <c r="K6" s="110" t="s">
        <v>121</v>
      </c>
      <c r="L6" s="85" t="s">
        <v>5</v>
      </c>
      <c r="M6" s="89" t="s">
        <v>6</v>
      </c>
      <c r="N6" s="89" t="s">
        <v>6</v>
      </c>
      <c r="O6" s="89" t="s">
        <v>6</v>
      </c>
      <c r="P6" s="9"/>
      <c r="Q6" s="93"/>
      <c r="R6" s="99" t="s">
        <v>32</v>
      </c>
      <c r="S6" s="100" t="s">
        <v>33</v>
      </c>
    </row>
    <row r="7" spans="1:20" ht="29.25" customHeight="1" x14ac:dyDescent="0.25">
      <c r="B7" s="2" t="s">
        <v>8</v>
      </c>
      <c r="C7" s="94" t="s">
        <v>106</v>
      </c>
      <c r="D7" s="94" t="s">
        <v>246</v>
      </c>
      <c r="E7" s="2" t="s">
        <v>232</v>
      </c>
      <c r="F7" s="2" t="s">
        <v>7</v>
      </c>
      <c r="G7" s="191">
        <v>2.9600000000000001E-2</v>
      </c>
      <c r="H7" s="191">
        <v>0.1744</v>
      </c>
      <c r="I7" s="192">
        <v>44377</v>
      </c>
      <c r="J7" s="192">
        <v>44378</v>
      </c>
      <c r="K7" s="192">
        <v>44013</v>
      </c>
      <c r="L7" s="193" t="s">
        <v>234</v>
      </c>
      <c r="M7" s="67">
        <v>190096.86</v>
      </c>
      <c r="N7" s="72">
        <f>190312.36-M7</f>
        <v>215.5</v>
      </c>
      <c r="O7" s="69">
        <f>M7+N7</f>
        <v>190312.36</v>
      </c>
      <c r="P7" s="153"/>
      <c r="Q7" s="61">
        <f>39768.7+61884.68+64374.56</f>
        <v>166027.94</v>
      </c>
      <c r="R7" s="60"/>
      <c r="S7" s="83">
        <f>Q7+R7</f>
        <v>166027.94</v>
      </c>
    </row>
    <row r="8" spans="1:20" ht="32.25" customHeight="1" x14ac:dyDescent="0.25">
      <c r="B8" s="2" t="s">
        <v>128</v>
      </c>
      <c r="C8" s="231" t="s">
        <v>122</v>
      </c>
      <c r="D8" s="95" t="s">
        <v>248</v>
      </c>
      <c r="E8" s="2" t="s">
        <v>233</v>
      </c>
      <c r="F8" s="2" t="s">
        <v>7</v>
      </c>
      <c r="G8" s="191">
        <v>2.9600000000000001E-2</v>
      </c>
      <c r="H8" s="191">
        <v>0.1744</v>
      </c>
      <c r="I8" s="192">
        <v>44377</v>
      </c>
      <c r="J8" s="192">
        <v>44378</v>
      </c>
      <c r="K8" s="192">
        <v>44013</v>
      </c>
      <c r="L8" s="193" t="s">
        <v>234</v>
      </c>
      <c r="M8" s="67">
        <v>18187.060000000001</v>
      </c>
      <c r="N8" s="69"/>
      <c r="O8" s="69">
        <f>M8+N8</f>
        <v>18187.060000000001</v>
      </c>
      <c r="P8" s="69"/>
      <c r="Q8" s="69">
        <v>18187.060000000001</v>
      </c>
      <c r="R8" s="69"/>
      <c r="S8" s="70">
        <f>Q8+R8</f>
        <v>18187.060000000001</v>
      </c>
    </row>
    <row r="9" spans="1:20" ht="32.25" customHeight="1" x14ac:dyDescent="0.25">
      <c r="B9" s="2" t="s">
        <v>241</v>
      </c>
      <c r="C9" s="243" t="s">
        <v>242</v>
      </c>
      <c r="D9" s="95" t="s">
        <v>243</v>
      </c>
      <c r="E9" s="2" t="s">
        <v>244</v>
      </c>
      <c r="F9" s="2" t="s">
        <v>7</v>
      </c>
      <c r="G9" s="191">
        <v>2.9600000000000001E-2</v>
      </c>
      <c r="H9" s="191">
        <v>0.1744</v>
      </c>
      <c r="I9" s="192">
        <v>44834</v>
      </c>
      <c r="J9" s="192">
        <v>44849</v>
      </c>
      <c r="K9" s="192">
        <v>43614</v>
      </c>
      <c r="L9" s="193" t="s">
        <v>311</v>
      </c>
      <c r="M9" s="67">
        <v>99356.61</v>
      </c>
      <c r="N9" s="69"/>
      <c r="O9" s="69">
        <f>M9+N9</f>
        <v>99356.61</v>
      </c>
      <c r="P9" s="69"/>
      <c r="Q9" s="69"/>
      <c r="R9" s="69"/>
      <c r="S9" s="70">
        <f>Q9+R9</f>
        <v>0</v>
      </c>
    </row>
    <row r="10" spans="1:20" ht="32.25" customHeight="1" x14ac:dyDescent="0.25">
      <c r="B10" s="2" t="s">
        <v>283</v>
      </c>
      <c r="C10" s="243" t="s">
        <v>264</v>
      </c>
      <c r="D10" s="95" t="s">
        <v>254</v>
      </c>
      <c r="E10" s="2" t="s">
        <v>284</v>
      </c>
      <c r="F10" s="2" t="s">
        <v>7</v>
      </c>
      <c r="G10" s="191">
        <f t="shared" ref="G10:H10" si="0">+G9</f>
        <v>2.9600000000000001E-2</v>
      </c>
      <c r="H10" s="191">
        <f t="shared" si="0"/>
        <v>0.1744</v>
      </c>
      <c r="I10" s="192">
        <v>44377</v>
      </c>
      <c r="J10" s="192">
        <v>44392</v>
      </c>
      <c r="K10" s="192">
        <v>43613</v>
      </c>
      <c r="L10" s="193" t="s">
        <v>234</v>
      </c>
      <c r="M10" s="67">
        <v>7302.48</v>
      </c>
      <c r="N10" s="69"/>
      <c r="O10" s="69">
        <f>M10+N10</f>
        <v>7302.48</v>
      </c>
      <c r="P10" s="69"/>
      <c r="Q10" s="69"/>
      <c r="R10" s="69"/>
      <c r="S10" s="70">
        <f>Q10+R10</f>
        <v>0</v>
      </c>
    </row>
    <row r="11" spans="1:20" ht="32.25" customHeight="1" x14ac:dyDescent="0.25">
      <c r="B11" s="2" t="s">
        <v>314</v>
      </c>
      <c r="C11" s="243" t="s">
        <v>242</v>
      </c>
      <c r="D11" s="95" t="s">
        <v>243</v>
      </c>
      <c r="E11" s="2" t="s">
        <v>315</v>
      </c>
      <c r="F11" s="2" t="s">
        <v>7</v>
      </c>
      <c r="G11" s="313">
        <f>+G9</f>
        <v>2.9600000000000001E-2</v>
      </c>
      <c r="H11" s="313">
        <f>+H9</f>
        <v>0.1744</v>
      </c>
      <c r="I11" s="312">
        <v>44773</v>
      </c>
      <c r="J11" s="312">
        <v>44788</v>
      </c>
      <c r="K11" s="192">
        <v>43980</v>
      </c>
      <c r="L11" s="193" t="s">
        <v>316</v>
      </c>
      <c r="M11" s="81">
        <v>5441.62</v>
      </c>
      <c r="N11" s="72"/>
      <c r="O11" s="69">
        <f>M11+N11</f>
        <v>5441.62</v>
      </c>
      <c r="P11" s="69"/>
      <c r="Q11" s="69"/>
      <c r="R11" s="69"/>
      <c r="S11" s="70">
        <f>Q11+R11</f>
        <v>0</v>
      </c>
    </row>
    <row r="12" spans="1:20" ht="32.25" customHeight="1" x14ac:dyDescent="0.25">
      <c r="B12" s="2" t="s">
        <v>318</v>
      </c>
      <c r="C12" s="243" t="s">
        <v>242</v>
      </c>
      <c r="D12" s="95" t="s">
        <v>243</v>
      </c>
      <c r="E12" s="2" t="s">
        <v>319</v>
      </c>
      <c r="F12" s="2" t="s">
        <v>7</v>
      </c>
      <c r="G12" s="191">
        <v>2.9600000000000001E-2</v>
      </c>
      <c r="H12" s="191">
        <v>0.1744</v>
      </c>
      <c r="I12" s="192">
        <v>44561</v>
      </c>
      <c r="J12" s="192">
        <v>44576</v>
      </c>
      <c r="K12" s="192">
        <v>43980</v>
      </c>
      <c r="L12" s="193" t="s">
        <v>320</v>
      </c>
      <c r="M12" s="81">
        <v>3000</v>
      </c>
      <c r="N12" s="69"/>
      <c r="O12" s="69">
        <f t="shared" ref="O12:O14" si="1">M12+N12</f>
        <v>3000</v>
      </c>
      <c r="P12" s="68"/>
      <c r="Q12" s="69"/>
      <c r="R12" s="69"/>
      <c r="S12" s="70">
        <f t="shared" ref="S12:S14" si="2">Q12+R12</f>
        <v>0</v>
      </c>
    </row>
    <row r="13" spans="1:20" ht="32.25" customHeight="1" x14ac:dyDescent="0.25">
      <c r="B13" s="2" t="s">
        <v>321</v>
      </c>
      <c r="C13" s="243" t="s">
        <v>264</v>
      </c>
      <c r="D13" s="95" t="s">
        <v>254</v>
      </c>
      <c r="E13" s="2" t="s">
        <v>322</v>
      </c>
      <c r="F13" s="2" t="s">
        <v>7</v>
      </c>
      <c r="G13" s="191">
        <v>2.9600000000000001E-2</v>
      </c>
      <c r="H13" s="191">
        <v>0.1744</v>
      </c>
      <c r="I13" s="192">
        <v>44742</v>
      </c>
      <c r="J13" s="192">
        <v>44757</v>
      </c>
      <c r="K13" s="192">
        <v>43979</v>
      </c>
      <c r="L13" s="193" t="s">
        <v>323</v>
      </c>
      <c r="M13" s="81">
        <v>1027</v>
      </c>
      <c r="N13" s="69"/>
      <c r="O13" s="69">
        <f t="shared" si="1"/>
        <v>1027</v>
      </c>
      <c r="P13" s="68"/>
      <c r="Q13" s="69"/>
      <c r="R13" s="69"/>
      <c r="S13" s="70">
        <f t="shared" si="2"/>
        <v>0</v>
      </c>
    </row>
    <row r="14" spans="1:20" ht="32.25" customHeight="1" x14ac:dyDescent="0.25">
      <c r="B14" s="2" t="s">
        <v>327</v>
      </c>
      <c r="C14" s="243" t="s">
        <v>242</v>
      </c>
      <c r="D14" s="95" t="s">
        <v>328</v>
      </c>
      <c r="E14" s="2" t="s">
        <v>329</v>
      </c>
      <c r="F14" s="2" t="s">
        <v>7</v>
      </c>
      <c r="G14" s="191">
        <v>2.9600000000000001E-2</v>
      </c>
      <c r="H14" s="191">
        <v>0.1744</v>
      </c>
      <c r="I14" s="192">
        <v>44440</v>
      </c>
      <c r="J14" s="192">
        <v>44440</v>
      </c>
      <c r="K14" s="192">
        <v>44201</v>
      </c>
      <c r="L14" s="193" t="s">
        <v>330</v>
      </c>
      <c r="M14" s="81">
        <v>208765.9</v>
      </c>
      <c r="N14" s="69"/>
      <c r="O14" s="69">
        <f t="shared" si="1"/>
        <v>208765.9</v>
      </c>
      <c r="P14" s="68"/>
      <c r="Q14" s="69"/>
      <c r="R14" s="69"/>
      <c r="S14" s="70">
        <f t="shared" si="2"/>
        <v>0</v>
      </c>
    </row>
    <row r="15" spans="1:20" x14ac:dyDescent="0.25">
      <c r="C15" s="97"/>
      <c r="D15" s="95"/>
      <c r="G15" s="191"/>
      <c r="H15" s="191"/>
      <c r="I15" s="192"/>
      <c r="J15" s="192"/>
      <c r="K15" s="192"/>
      <c r="L15" s="193"/>
      <c r="M15" s="32"/>
      <c r="N15" s="25"/>
      <c r="O15" s="25"/>
      <c r="P15" s="69"/>
      <c r="Q15" s="25"/>
      <c r="R15" s="25"/>
      <c r="S15" s="26"/>
    </row>
    <row r="16" spans="1:20" ht="21.75" customHeight="1" x14ac:dyDescent="0.25">
      <c r="C16" s="95"/>
      <c r="D16" s="95"/>
      <c r="G16" s="207"/>
      <c r="H16" s="191" t="s">
        <v>100</v>
      </c>
      <c r="I16" s="192"/>
      <c r="J16" s="192"/>
      <c r="K16" s="192"/>
      <c r="L16" s="5" t="s">
        <v>38</v>
      </c>
      <c r="M16" s="68">
        <f>SUM(M7:M15)</f>
        <v>533177.52999999991</v>
      </c>
      <c r="N16" s="68">
        <f>SUM(N7:N15)</f>
        <v>215.5</v>
      </c>
      <c r="O16" s="68">
        <f>SUM(O7:O15)</f>
        <v>533393.02999999991</v>
      </c>
      <c r="Q16" s="68">
        <f>SUM(Q7:Q15)</f>
        <v>184215</v>
      </c>
      <c r="R16" s="68">
        <f>SUM(R8:R15)</f>
        <v>0</v>
      </c>
      <c r="S16" s="70">
        <f>SUM(S7:S15)</f>
        <v>184215</v>
      </c>
    </row>
    <row r="17" spans="2:19" x14ac:dyDescent="0.25">
      <c r="C17" s="94"/>
      <c r="D17" s="94"/>
      <c r="I17" s="119"/>
      <c r="J17" s="119"/>
      <c r="K17" s="119"/>
      <c r="M17" s="68"/>
      <c r="N17" s="68"/>
      <c r="O17" s="68"/>
      <c r="Q17" s="68"/>
      <c r="R17" s="68"/>
      <c r="S17" s="70"/>
    </row>
    <row r="18" spans="2:19" x14ac:dyDescent="0.25">
      <c r="C18" s="94"/>
      <c r="D18" s="94"/>
      <c r="L18" s="5"/>
      <c r="M18" s="68"/>
      <c r="N18" s="68"/>
      <c r="O18" s="68"/>
      <c r="Q18" s="68"/>
      <c r="R18" s="68"/>
      <c r="S18" s="70"/>
    </row>
    <row r="19" spans="2:19" x14ac:dyDescent="0.25">
      <c r="C19" s="94"/>
      <c r="D19" s="94"/>
      <c r="L19" s="5"/>
      <c r="M19" s="68"/>
      <c r="N19" s="68"/>
      <c r="O19" s="68"/>
      <c r="Q19" s="68"/>
      <c r="R19" s="68"/>
      <c r="S19" s="70"/>
    </row>
    <row r="20" spans="2:19" ht="31.5" customHeight="1" x14ac:dyDescent="0.25">
      <c r="B20" s="8" t="s">
        <v>125</v>
      </c>
      <c r="C20" s="94"/>
      <c r="D20" s="94"/>
      <c r="L20" s="5"/>
      <c r="M20" s="68"/>
      <c r="N20" s="68"/>
      <c r="O20" s="68"/>
      <c r="Q20" s="68"/>
      <c r="R20" s="68"/>
      <c r="S20" s="70"/>
    </row>
    <row r="21" spans="2:19" ht="30.6" customHeight="1" x14ac:dyDescent="0.25">
      <c r="B21" s="338" t="s">
        <v>126</v>
      </c>
      <c r="C21" s="338"/>
      <c r="D21" s="338"/>
      <c r="E21" s="338"/>
      <c r="F21" s="338"/>
      <c r="G21" s="120"/>
      <c r="H21" s="120"/>
      <c r="I21" s="114"/>
      <c r="L21" s="5"/>
      <c r="M21" s="68"/>
      <c r="N21" s="68"/>
      <c r="O21" s="68"/>
      <c r="Q21" s="68"/>
      <c r="R21" s="68"/>
      <c r="S21" s="70"/>
    </row>
    <row r="22" spans="2:19" x14ac:dyDescent="0.25">
      <c r="C22" s="94"/>
      <c r="D22" s="94"/>
      <c r="L22" s="5"/>
      <c r="M22" s="68"/>
      <c r="N22" s="68"/>
      <c r="O22" s="68"/>
      <c r="Q22" s="68"/>
      <c r="R22" s="68"/>
      <c r="S22" s="70"/>
    </row>
    <row r="23" spans="2:19" ht="49.15" customHeight="1" x14ac:dyDescent="0.25">
      <c r="B23" s="338" t="s">
        <v>129</v>
      </c>
      <c r="C23" s="338"/>
      <c r="D23" s="338"/>
      <c r="E23" s="338"/>
      <c r="F23" s="338"/>
      <c r="G23" s="120"/>
      <c r="H23" s="120"/>
      <c r="I23" s="114"/>
      <c r="L23" s="5"/>
      <c r="M23" s="68"/>
      <c r="N23" s="68"/>
      <c r="O23" s="68"/>
      <c r="Q23" s="68"/>
      <c r="R23" s="68"/>
      <c r="S23" s="70"/>
    </row>
    <row r="24" spans="2:19" x14ac:dyDescent="0.25">
      <c r="B24" s="111"/>
      <c r="C24" s="111"/>
      <c r="D24" s="111"/>
      <c r="E24" s="111"/>
      <c r="F24" s="111"/>
      <c r="G24" s="120"/>
      <c r="H24" s="120"/>
      <c r="I24" s="114"/>
      <c r="L24" s="5"/>
      <c r="M24" s="68"/>
      <c r="N24" s="68"/>
      <c r="O24" s="68"/>
      <c r="Q24" s="68"/>
      <c r="R24" s="68"/>
      <c r="S24" s="70"/>
    </row>
    <row r="25" spans="2:19" ht="36" customHeight="1" x14ac:dyDescent="0.25">
      <c r="B25" s="338" t="s">
        <v>160</v>
      </c>
      <c r="C25" s="338"/>
      <c r="D25" s="338"/>
      <c r="E25" s="338"/>
      <c r="F25" s="338"/>
      <c r="G25" s="198"/>
      <c r="H25" s="198"/>
      <c r="I25" s="198"/>
      <c r="L25" s="5"/>
      <c r="M25" s="68"/>
      <c r="N25" s="68"/>
      <c r="O25" s="68"/>
      <c r="Q25" s="68"/>
      <c r="R25" s="68"/>
      <c r="S25" s="70"/>
    </row>
    <row r="26" spans="2:19" ht="15" customHeight="1" x14ac:dyDescent="0.25">
      <c r="B26" s="346" t="s">
        <v>159</v>
      </c>
      <c r="C26" s="338"/>
      <c r="D26" s="338"/>
      <c r="E26" s="338"/>
      <c r="F26" s="338"/>
      <c r="G26" s="198"/>
      <c r="H26" s="198"/>
      <c r="I26" s="198"/>
      <c r="L26" s="5"/>
      <c r="M26" s="81"/>
      <c r="N26" s="68"/>
      <c r="O26" s="68"/>
      <c r="Q26" s="68"/>
      <c r="R26" s="68"/>
      <c r="S26" s="70"/>
    </row>
    <row r="27" spans="2:19" x14ac:dyDescent="0.25">
      <c r="B27" s="200"/>
      <c r="C27" s="200"/>
      <c r="D27" s="200"/>
      <c r="E27" s="200"/>
      <c r="F27" s="200"/>
      <c r="G27" s="200"/>
      <c r="H27" s="200"/>
      <c r="I27" s="200"/>
      <c r="L27" s="5"/>
      <c r="M27" s="68"/>
      <c r="N27" s="68"/>
      <c r="O27" s="68"/>
      <c r="Q27" s="68"/>
      <c r="R27" s="68"/>
      <c r="S27" s="70"/>
    </row>
    <row r="28" spans="2:19" ht="18.600000000000001" customHeight="1" x14ac:dyDescent="0.25">
      <c r="B28" s="7" t="s">
        <v>109</v>
      </c>
      <c r="C28" s="104" t="s">
        <v>112</v>
      </c>
      <c r="D28" s="104" t="s">
        <v>113</v>
      </c>
      <c r="E28" s="111"/>
      <c r="F28" s="111"/>
      <c r="G28" s="120"/>
      <c r="H28" s="120"/>
      <c r="I28" s="114"/>
      <c r="L28" s="5"/>
      <c r="M28" s="68"/>
      <c r="N28" s="68"/>
      <c r="O28" s="68"/>
      <c r="Q28" s="68"/>
      <c r="R28" s="68"/>
      <c r="S28" s="70"/>
    </row>
    <row r="29" spans="2:19" x14ac:dyDescent="0.25">
      <c r="B29" s="2" t="s">
        <v>110</v>
      </c>
      <c r="C29" s="94" t="s">
        <v>116</v>
      </c>
      <c r="D29" s="94" t="s">
        <v>118</v>
      </c>
      <c r="L29" s="5"/>
      <c r="M29" s="68"/>
      <c r="N29" s="68"/>
      <c r="O29" s="68"/>
      <c r="Q29" s="68"/>
      <c r="R29" s="68"/>
      <c r="S29" s="70"/>
    </row>
    <row r="30" spans="2:19" x14ac:dyDescent="0.25">
      <c r="B30" s="2" t="s">
        <v>111</v>
      </c>
      <c r="C30" s="94" t="s">
        <v>114</v>
      </c>
      <c r="D30" s="94" t="s">
        <v>119</v>
      </c>
      <c r="L30" s="5"/>
      <c r="M30" s="68"/>
      <c r="N30" s="68"/>
      <c r="O30" s="68"/>
      <c r="Q30" s="68"/>
      <c r="R30" s="68"/>
      <c r="S30" s="70"/>
    </row>
    <row r="31" spans="2:19" x14ac:dyDescent="0.25">
      <c r="B31" s="2" t="s">
        <v>252</v>
      </c>
      <c r="C31" s="94" t="s">
        <v>135</v>
      </c>
      <c r="D31" s="94" t="s">
        <v>147</v>
      </c>
      <c r="L31" s="5"/>
      <c r="M31" s="68"/>
      <c r="N31" s="68"/>
      <c r="O31" s="68"/>
      <c r="Q31" s="68"/>
      <c r="R31" s="68"/>
      <c r="S31" s="70"/>
    </row>
    <row r="32" spans="2:19" x14ac:dyDescent="0.25">
      <c r="B32" s="2" t="s">
        <v>260</v>
      </c>
      <c r="C32" s="94" t="s">
        <v>135</v>
      </c>
      <c r="D32" s="94" t="s">
        <v>147</v>
      </c>
      <c r="L32" s="5"/>
      <c r="M32" s="68"/>
      <c r="N32" s="68"/>
      <c r="O32" s="68"/>
      <c r="Q32" s="68"/>
      <c r="R32" s="68"/>
      <c r="S32" s="70"/>
    </row>
    <row r="33" spans="2:20" x14ac:dyDescent="0.25">
      <c r="B33" s="2" t="s">
        <v>314</v>
      </c>
      <c r="C33" s="94" t="s">
        <v>135</v>
      </c>
      <c r="D33" s="94" t="s">
        <v>147</v>
      </c>
      <c r="L33" s="5"/>
      <c r="M33" s="68"/>
      <c r="N33" s="68"/>
      <c r="O33" s="68"/>
      <c r="Q33" s="68"/>
      <c r="R33" s="68"/>
      <c r="S33" s="70"/>
    </row>
    <row r="34" spans="2:20" x14ac:dyDescent="0.25">
      <c r="B34" s="2" t="s">
        <v>318</v>
      </c>
      <c r="C34" s="94" t="s">
        <v>135</v>
      </c>
      <c r="D34" s="94" t="s">
        <v>147</v>
      </c>
      <c r="L34" s="5"/>
      <c r="M34" s="68"/>
      <c r="N34" s="68"/>
      <c r="O34" s="68"/>
      <c r="Q34" s="68"/>
      <c r="R34" s="68"/>
      <c r="S34" s="70"/>
    </row>
    <row r="35" spans="2:20" x14ac:dyDescent="0.25">
      <c r="B35" s="2" t="s">
        <v>321</v>
      </c>
      <c r="C35" s="94" t="s">
        <v>135</v>
      </c>
      <c r="D35" s="94" t="s">
        <v>147</v>
      </c>
      <c r="L35" s="5"/>
      <c r="M35" s="68"/>
      <c r="N35" s="68"/>
      <c r="O35" s="68"/>
      <c r="Q35" s="68"/>
      <c r="R35" s="68"/>
      <c r="S35" s="70"/>
    </row>
    <row r="36" spans="2:20" x14ac:dyDescent="0.25">
      <c r="B36" s="2" t="s">
        <v>326</v>
      </c>
      <c r="C36" s="94" t="s">
        <v>135</v>
      </c>
      <c r="D36" s="94" t="s">
        <v>147</v>
      </c>
      <c r="L36" s="5"/>
      <c r="M36" s="68"/>
      <c r="N36" s="68"/>
      <c r="O36" s="68"/>
      <c r="Q36" s="68"/>
      <c r="R36" s="68"/>
      <c r="S36" s="70"/>
    </row>
    <row r="37" spans="2:20" x14ac:dyDescent="0.25">
      <c r="C37" s="94"/>
      <c r="D37" s="94"/>
      <c r="L37" s="5"/>
      <c r="M37" s="68"/>
      <c r="N37" s="68"/>
      <c r="O37" s="68"/>
      <c r="Q37" s="68"/>
      <c r="R37" s="68"/>
      <c r="S37" s="70"/>
    </row>
    <row r="38" spans="2:20" x14ac:dyDescent="0.25">
      <c r="B38" s="347" t="s">
        <v>235</v>
      </c>
      <c r="C38" s="333"/>
      <c r="D38" s="333"/>
      <c r="E38" s="333"/>
      <c r="F38" s="333"/>
      <c r="G38" s="333"/>
      <c r="H38" s="333"/>
      <c r="L38" s="5"/>
      <c r="M38" s="68"/>
      <c r="N38" s="68"/>
      <c r="O38" s="68"/>
      <c r="Q38" s="68"/>
      <c r="R38" s="68"/>
      <c r="S38" s="70"/>
    </row>
    <row r="39" spans="2:20" x14ac:dyDescent="0.25">
      <c r="B39" s="249" t="s">
        <v>236</v>
      </c>
      <c r="C39" s="94"/>
      <c r="D39" s="94"/>
      <c r="L39" s="5"/>
      <c r="M39" s="68"/>
      <c r="N39" s="68"/>
      <c r="O39" s="69"/>
      <c r="Q39" s="68"/>
      <c r="R39" s="68"/>
      <c r="S39" s="70"/>
    </row>
    <row r="40" spans="2:20" x14ac:dyDescent="0.25">
      <c r="B40" s="10"/>
      <c r="C40" s="96"/>
      <c r="D40" s="96"/>
      <c r="E40" s="10"/>
      <c r="F40" s="10"/>
      <c r="G40" s="10"/>
      <c r="H40" s="10"/>
      <c r="I40" s="10"/>
      <c r="J40" s="10"/>
      <c r="K40" s="10"/>
      <c r="L40" s="10"/>
      <c r="M40" s="10"/>
      <c r="N40" s="10"/>
      <c r="O40" s="10"/>
      <c r="P40" s="10"/>
      <c r="Q40" s="10"/>
      <c r="R40" s="52"/>
      <c r="S40" s="53"/>
    </row>
    <row r="41" spans="2:20" ht="15" customHeight="1" x14ac:dyDescent="0.25">
      <c r="N41" s="48"/>
      <c r="O41" s="48"/>
      <c r="P41" s="48"/>
      <c r="Q41" s="59" t="s">
        <v>90</v>
      </c>
      <c r="R41" s="50"/>
      <c r="S41" s="170"/>
      <c r="T41" s="51"/>
    </row>
    <row r="42" spans="2:20" ht="15" customHeight="1" x14ac:dyDescent="0.25">
      <c r="B42" s="17" t="s">
        <v>39</v>
      </c>
      <c r="C42" s="98" t="s">
        <v>2</v>
      </c>
      <c r="D42" s="98"/>
      <c r="E42" s="98" t="s">
        <v>34</v>
      </c>
      <c r="F42" s="98" t="s">
        <v>35</v>
      </c>
      <c r="G42" s="123"/>
      <c r="H42" s="123"/>
      <c r="I42" s="117"/>
      <c r="J42" s="98"/>
      <c r="K42" s="98"/>
      <c r="L42" s="98" t="s">
        <v>36</v>
      </c>
      <c r="M42" s="98" t="s">
        <v>37</v>
      </c>
      <c r="N42" s="47"/>
      <c r="O42" s="47"/>
      <c r="P42" s="47"/>
      <c r="Q42" s="54" t="s">
        <v>88</v>
      </c>
      <c r="R42" s="52"/>
      <c r="S42" s="53"/>
      <c r="T42" s="51"/>
    </row>
    <row r="43" spans="2:20" ht="15" customHeight="1" x14ac:dyDescent="0.25">
      <c r="B43" s="65"/>
      <c r="C43" s="9"/>
      <c r="D43" s="9"/>
      <c r="E43" s="9"/>
      <c r="F43" s="9"/>
      <c r="G43" s="9"/>
      <c r="H43" s="9"/>
      <c r="I43" s="9"/>
      <c r="J43" s="9"/>
      <c r="K43" s="9"/>
      <c r="L43" s="9"/>
      <c r="M43" s="9"/>
      <c r="N43" s="45"/>
      <c r="O43" s="45"/>
      <c r="P43" s="45"/>
      <c r="T43" s="51"/>
    </row>
    <row r="44" spans="2:20" x14ac:dyDescent="0.25">
      <c r="B44" s="65"/>
      <c r="C44" s="9"/>
      <c r="D44" s="9"/>
      <c r="E44" s="9"/>
      <c r="F44" s="9"/>
      <c r="G44" s="9"/>
      <c r="H44" s="9"/>
      <c r="I44" s="9"/>
      <c r="J44" s="9"/>
      <c r="K44" s="9"/>
      <c r="L44" s="9"/>
      <c r="M44" s="31"/>
      <c r="Q44" s="51"/>
      <c r="R44" s="51"/>
      <c r="S44" s="51"/>
      <c r="T44" s="51"/>
    </row>
    <row r="45" spans="2:20" x14ac:dyDescent="0.25">
      <c r="B45" s="12"/>
      <c r="C45" s="13"/>
      <c r="D45" s="13"/>
      <c r="E45" s="14"/>
      <c r="F45" s="15"/>
      <c r="G45" s="15"/>
      <c r="H45" s="15"/>
      <c r="I45" s="15"/>
      <c r="J45" s="15"/>
      <c r="K45" s="15"/>
      <c r="L45" s="16"/>
      <c r="M45" s="31"/>
      <c r="Q45" s="51"/>
      <c r="R45" s="51"/>
      <c r="S45" s="51"/>
      <c r="T45" s="51"/>
    </row>
    <row r="46" spans="2:20" x14ac:dyDescent="0.25">
      <c r="B46" s="12"/>
      <c r="C46" s="13"/>
      <c r="D46" s="13"/>
      <c r="E46" s="14"/>
      <c r="F46" s="15"/>
      <c r="G46" s="15"/>
      <c r="H46" s="15"/>
      <c r="I46" s="15"/>
      <c r="J46" s="15"/>
      <c r="K46" s="15"/>
      <c r="L46" s="16"/>
      <c r="M46" s="31"/>
      <c r="Q46" s="51"/>
      <c r="R46" s="51"/>
      <c r="S46" s="51"/>
      <c r="T46" s="51"/>
    </row>
    <row r="47" spans="2:20" x14ac:dyDescent="0.25">
      <c r="B47" s="12"/>
      <c r="C47" s="13"/>
      <c r="D47" s="13"/>
      <c r="E47" s="14"/>
      <c r="F47" s="15"/>
      <c r="G47" s="15"/>
      <c r="H47" s="15"/>
      <c r="I47" s="15"/>
      <c r="J47" s="15"/>
      <c r="K47" s="15"/>
      <c r="L47" s="16"/>
      <c r="M47" s="31"/>
      <c r="T47" s="51"/>
    </row>
    <row r="48" spans="2:20" ht="15" customHeight="1" x14ac:dyDescent="0.25">
      <c r="B48" s="12"/>
      <c r="C48" s="13"/>
      <c r="D48" s="13"/>
      <c r="E48" s="14"/>
      <c r="F48" s="15"/>
      <c r="G48" s="15"/>
      <c r="H48" s="15"/>
      <c r="I48" s="15"/>
      <c r="J48" s="15"/>
      <c r="K48" s="15"/>
      <c r="L48" s="16"/>
      <c r="M48" s="31"/>
      <c r="N48" s="107"/>
      <c r="O48" s="29"/>
      <c r="P48" s="29"/>
    </row>
    <row r="49" spans="2:19" x14ac:dyDescent="0.25">
      <c r="B49" s="12"/>
      <c r="C49" s="40"/>
      <c r="D49" s="40"/>
      <c r="E49" s="41"/>
      <c r="F49" s="15"/>
      <c r="G49" s="15"/>
      <c r="H49" s="15"/>
      <c r="I49" s="15"/>
      <c r="J49" s="15"/>
      <c r="K49" s="15"/>
      <c r="L49" s="33"/>
      <c r="M49" s="34"/>
      <c r="N49" s="107"/>
      <c r="O49" s="29"/>
      <c r="P49" s="29"/>
    </row>
    <row r="50" spans="2:19" x14ac:dyDescent="0.25">
      <c r="B50" s="36"/>
      <c r="C50" s="40"/>
      <c r="D50" s="40"/>
      <c r="E50" s="41"/>
      <c r="F50" s="38"/>
      <c r="G50" s="38"/>
      <c r="H50" s="38"/>
      <c r="I50" s="38"/>
      <c r="J50" s="38"/>
      <c r="K50" s="38"/>
      <c r="L50" s="39"/>
      <c r="M50" s="31"/>
      <c r="N50" s="107"/>
      <c r="Q50" s="325" t="s">
        <v>343</v>
      </c>
      <c r="R50" s="325"/>
      <c r="S50" s="327">
        <f>S16</f>
        <v>184215</v>
      </c>
    </row>
    <row r="51" spans="2:19" x14ac:dyDescent="0.25">
      <c r="C51" s="40"/>
      <c r="D51" s="40"/>
      <c r="E51" s="41"/>
      <c r="F51" s="71"/>
      <c r="G51" s="71"/>
      <c r="H51" s="71"/>
      <c r="I51" s="71"/>
      <c r="J51" s="71"/>
      <c r="K51" s="71"/>
      <c r="L51" s="33"/>
      <c r="M51" s="31"/>
      <c r="N51" s="108"/>
    </row>
    <row r="52" spans="2:19" x14ac:dyDescent="0.25">
      <c r="C52" s="40"/>
      <c r="D52" s="40"/>
      <c r="E52" s="41"/>
      <c r="F52" s="71"/>
      <c r="G52" s="71"/>
      <c r="H52" s="71"/>
      <c r="I52" s="71"/>
      <c r="J52" s="71"/>
      <c r="K52" s="71"/>
      <c r="L52" s="33"/>
      <c r="M52" s="35"/>
      <c r="N52" s="37"/>
      <c r="O52" s="37"/>
      <c r="P52" s="29"/>
    </row>
    <row r="53" spans="2:19" ht="15" customHeight="1" x14ac:dyDescent="0.25">
      <c r="C53" s="40"/>
      <c r="D53" s="40"/>
      <c r="E53" s="41"/>
      <c r="F53" s="71"/>
      <c r="G53" s="71"/>
      <c r="H53" s="71"/>
      <c r="I53" s="71"/>
      <c r="J53" s="71"/>
      <c r="K53" s="71"/>
      <c r="L53" s="33"/>
      <c r="M53" s="31"/>
      <c r="N53" s="101"/>
      <c r="O53" s="101"/>
      <c r="P53" s="29"/>
    </row>
    <row r="54" spans="2:19" x14ac:dyDescent="0.25">
      <c r="B54" s="36"/>
      <c r="C54" s="40"/>
      <c r="D54" s="40"/>
      <c r="E54" s="41"/>
      <c r="F54" s="38"/>
      <c r="G54" s="38"/>
      <c r="H54" s="38"/>
      <c r="I54" s="38"/>
      <c r="J54" s="38"/>
      <c r="K54" s="38"/>
      <c r="L54" s="33"/>
      <c r="M54" s="31"/>
      <c r="N54" s="101"/>
      <c r="O54" s="101"/>
      <c r="P54" s="29"/>
    </row>
    <row r="55" spans="2:19" x14ac:dyDescent="0.25">
      <c r="B55" s="36"/>
      <c r="C55" s="40"/>
      <c r="D55" s="40"/>
      <c r="E55" s="41"/>
      <c r="F55" s="38"/>
      <c r="G55" s="38"/>
      <c r="H55" s="38"/>
      <c r="I55" s="38"/>
      <c r="J55" s="38"/>
      <c r="K55" s="38"/>
      <c r="L55" s="33"/>
      <c r="M55" s="31"/>
      <c r="N55" s="101"/>
      <c r="O55" s="101"/>
      <c r="P55" s="29"/>
    </row>
    <row r="56" spans="2:19" ht="16.5" customHeight="1" x14ac:dyDescent="0.25">
      <c r="B56" s="36"/>
      <c r="C56" s="40"/>
      <c r="D56" s="40"/>
      <c r="E56" s="41"/>
      <c r="F56" s="38"/>
      <c r="G56" s="38"/>
      <c r="H56" s="38"/>
      <c r="I56" s="38"/>
      <c r="J56" s="38"/>
      <c r="K56" s="38"/>
      <c r="L56" s="33"/>
      <c r="M56" s="20"/>
      <c r="N56" s="101"/>
      <c r="O56" s="101"/>
      <c r="P56" s="29"/>
    </row>
    <row r="57" spans="2:19" ht="15" hidden="1" customHeight="1" x14ac:dyDescent="0.25">
      <c r="B57" s="36"/>
      <c r="C57" s="40"/>
      <c r="D57" s="40"/>
      <c r="E57" s="41"/>
      <c r="F57" s="38"/>
      <c r="G57" s="38"/>
      <c r="H57" s="38"/>
      <c r="I57" s="38"/>
      <c r="J57" s="38"/>
      <c r="K57" s="38"/>
      <c r="L57" s="39"/>
    </row>
    <row r="58" spans="2:19" ht="15" customHeight="1" x14ac:dyDescent="0.25"/>
    <row r="59" spans="2:19" x14ac:dyDescent="0.25">
      <c r="E59" s="21"/>
      <c r="F59" s="105"/>
      <c r="G59" s="105"/>
      <c r="H59" s="105"/>
      <c r="I59" s="105"/>
      <c r="J59" s="105"/>
      <c r="K59" s="105"/>
    </row>
    <row r="61" spans="2:19" ht="15" customHeight="1" x14ac:dyDescent="0.25"/>
  </sheetData>
  <mergeCells count="7">
    <mergeCell ref="B38:H38"/>
    <mergeCell ref="B26:F26"/>
    <mergeCell ref="Q2:S2"/>
    <mergeCell ref="Q1:S1"/>
    <mergeCell ref="B21:F21"/>
    <mergeCell ref="B23:F23"/>
    <mergeCell ref="B25:F25"/>
  </mergeCells>
  <hyperlinks>
    <hyperlink ref="B26" r:id="rId1"/>
  </hyperlinks>
  <printOptions horizontalCentered="1" gridLines="1"/>
  <pageMargins left="0" right="0" top="0.75" bottom="0.75" header="0.3" footer="0.3"/>
  <pageSetup scale="52" orientation="landscape" horizontalDpi="1200" verticalDpi="1200"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0"/>
  <sheetViews>
    <sheetView topLeftCell="E26" zoomScale="130" zoomScaleNormal="130" workbookViewId="0">
      <selection activeCell="S50" sqref="S50"/>
    </sheetView>
  </sheetViews>
  <sheetFormatPr defaultColWidth="9.140625" defaultRowHeight="15" x14ac:dyDescent="0.25"/>
  <cols>
    <col min="1" max="1" width="9.140625" style="2" hidden="1" customWidth="1"/>
    <col min="2" max="2" width="57.85546875" style="2" customWidth="1"/>
    <col min="3" max="3" width="25.85546875" style="2" customWidth="1"/>
    <col min="4" max="4" width="13.7109375" style="2" customWidth="1"/>
    <col min="5" max="5" width="19" style="2" customWidth="1"/>
    <col min="6" max="6" width="21.7109375" style="2" customWidth="1"/>
    <col min="7" max="7" width="8.5703125" style="2" customWidth="1"/>
    <col min="8" max="8" width="12.85546875" style="2" customWidth="1"/>
    <col min="9" max="9" width="10.85546875" style="2" customWidth="1"/>
    <col min="10" max="10" width="10" style="2" customWidth="1"/>
    <col min="11" max="11" width="8" style="2" customWidth="1"/>
    <col min="12" max="12" width="18.425781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6.7109375" style="2" customWidth="1"/>
    <col min="20" max="16384" width="9.140625" style="2"/>
  </cols>
  <sheetData>
    <row r="1" spans="1:20" ht="15.6" customHeight="1" x14ac:dyDescent="0.25">
      <c r="A1" s="2" t="s">
        <v>342</v>
      </c>
      <c r="B1" s="1" t="s">
        <v>13</v>
      </c>
      <c r="Q1" s="335" t="s">
        <v>230</v>
      </c>
      <c r="R1" s="335"/>
      <c r="S1" s="335"/>
    </row>
    <row r="2" spans="1:20" x14ac:dyDescent="0.25">
      <c r="B2" s="90" t="s">
        <v>148</v>
      </c>
      <c r="C2" s="187">
        <v>44377</v>
      </c>
      <c r="M2" s="73"/>
      <c r="N2" s="73"/>
      <c r="P2" s="29"/>
      <c r="Q2" s="334" t="s">
        <v>338</v>
      </c>
      <c r="R2" s="334"/>
      <c r="S2" s="334"/>
    </row>
    <row r="3" spans="1:20" ht="15.75" thickBot="1" x14ac:dyDescent="0.3">
      <c r="A3" s="2" t="s">
        <v>16</v>
      </c>
      <c r="B3" s="44" t="s">
        <v>55</v>
      </c>
      <c r="C3" s="8"/>
      <c r="D3" s="8"/>
      <c r="E3" s="8"/>
      <c r="P3" s="29"/>
      <c r="Q3" s="45"/>
      <c r="R3" s="30"/>
    </row>
    <row r="4" spans="1:20" x14ac:dyDescent="0.25">
      <c r="B4" s="8" t="s">
        <v>174</v>
      </c>
      <c r="M4" s="87" t="s">
        <v>28</v>
      </c>
      <c r="N4" s="87" t="s">
        <v>28</v>
      </c>
      <c r="O4" s="87" t="s">
        <v>28</v>
      </c>
      <c r="P4" s="9"/>
      <c r="Q4" s="91" t="s">
        <v>29</v>
      </c>
      <c r="R4" s="91" t="s">
        <v>31</v>
      </c>
      <c r="S4" s="91" t="s">
        <v>23</v>
      </c>
      <c r="T4" s="7"/>
    </row>
    <row r="5" spans="1:20" ht="15.75" thickBot="1" x14ac:dyDescent="0.3">
      <c r="G5" s="188" t="s">
        <v>231</v>
      </c>
      <c r="H5" s="188" t="s">
        <v>231</v>
      </c>
      <c r="M5" s="88" t="s">
        <v>27</v>
      </c>
      <c r="N5" s="88" t="s">
        <v>26</v>
      </c>
      <c r="O5" s="88" t="s">
        <v>25</v>
      </c>
      <c r="P5" s="9"/>
      <c r="Q5" s="92" t="s">
        <v>30</v>
      </c>
      <c r="R5" s="92" t="s">
        <v>30</v>
      </c>
      <c r="S5" s="92" t="s">
        <v>30</v>
      </c>
      <c r="T5" s="7"/>
    </row>
    <row r="6" spans="1:20" ht="85.5" customHeight="1" thickBot="1" x14ac:dyDescent="0.3">
      <c r="B6" s="86" t="s">
        <v>1</v>
      </c>
      <c r="C6" s="86" t="s">
        <v>127</v>
      </c>
      <c r="D6" s="86" t="s">
        <v>107</v>
      </c>
      <c r="E6" s="86" t="s">
        <v>3</v>
      </c>
      <c r="F6" s="86" t="s">
        <v>4</v>
      </c>
      <c r="G6" s="110" t="s">
        <v>136</v>
      </c>
      <c r="H6" s="110" t="s">
        <v>137</v>
      </c>
      <c r="I6" s="110" t="s">
        <v>133</v>
      </c>
      <c r="J6" s="110" t="s">
        <v>134</v>
      </c>
      <c r="K6" s="110" t="s">
        <v>121</v>
      </c>
      <c r="L6" s="85" t="s">
        <v>5</v>
      </c>
      <c r="M6" s="89" t="s">
        <v>6</v>
      </c>
      <c r="N6" s="89" t="s">
        <v>6</v>
      </c>
      <c r="O6" s="89" t="s">
        <v>6</v>
      </c>
      <c r="P6" s="9"/>
      <c r="Q6" s="93"/>
      <c r="R6" s="99" t="s">
        <v>32</v>
      </c>
      <c r="S6" s="100" t="s">
        <v>33</v>
      </c>
    </row>
    <row r="7" spans="1:20" ht="35.25" customHeight="1" x14ac:dyDescent="0.25">
      <c r="B7" s="282" t="s">
        <v>128</v>
      </c>
      <c r="C7" s="232" t="s">
        <v>122</v>
      </c>
      <c r="D7" s="95" t="s">
        <v>248</v>
      </c>
      <c r="E7" s="2" t="s">
        <v>232</v>
      </c>
      <c r="F7" s="2" t="s">
        <v>7</v>
      </c>
      <c r="G7" s="191">
        <v>2.9600000000000001E-2</v>
      </c>
      <c r="H7" s="191">
        <v>0.1744</v>
      </c>
      <c r="I7" s="192">
        <v>44377</v>
      </c>
      <c r="J7" s="192">
        <v>44378</v>
      </c>
      <c r="K7" s="192">
        <v>44013</v>
      </c>
      <c r="L7" s="193" t="s">
        <v>234</v>
      </c>
      <c r="M7" s="61">
        <v>28899.99</v>
      </c>
      <c r="N7" s="69"/>
      <c r="O7" s="61">
        <f>M7+N7</f>
        <v>28899.99</v>
      </c>
      <c r="P7" s="69"/>
      <c r="Q7" s="69">
        <v>28899.99</v>
      </c>
      <c r="R7" s="69"/>
      <c r="S7" s="70">
        <f>Q7+R7</f>
        <v>28899.99</v>
      </c>
    </row>
    <row r="8" spans="1:20" ht="35.25" customHeight="1" x14ac:dyDescent="0.25">
      <c r="B8" s="2" t="s">
        <v>241</v>
      </c>
      <c r="C8" s="243" t="s">
        <v>242</v>
      </c>
      <c r="D8" s="95" t="s">
        <v>243</v>
      </c>
      <c r="E8" s="2" t="s">
        <v>244</v>
      </c>
      <c r="F8" s="2" t="s">
        <v>7</v>
      </c>
      <c r="G8" s="191">
        <v>2.9600000000000001E-2</v>
      </c>
      <c r="H8" s="191">
        <v>0.1744</v>
      </c>
      <c r="I8" s="192">
        <v>44834</v>
      </c>
      <c r="J8" s="192">
        <v>44849</v>
      </c>
      <c r="K8" s="192">
        <v>43614</v>
      </c>
      <c r="L8" s="193" t="s">
        <v>311</v>
      </c>
      <c r="M8" s="61">
        <v>150403.95000000001</v>
      </c>
      <c r="N8" s="69"/>
      <c r="O8" s="61">
        <f>M8+N8</f>
        <v>150403.95000000001</v>
      </c>
      <c r="P8" s="69"/>
      <c r="Q8" s="69">
        <v>70656.899999999994</v>
      </c>
      <c r="R8" s="69"/>
      <c r="S8" s="70">
        <f>Q8+R8</f>
        <v>70656.899999999994</v>
      </c>
    </row>
    <row r="9" spans="1:20" ht="35.25" customHeight="1" x14ac:dyDescent="0.25">
      <c r="B9" s="2" t="s">
        <v>283</v>
      </c>
      <c r="C9" s="243" t="s">
        <v>264</v>
      </c>
      <c r="D9" s="95" t="s">
        <v>254</v>
      </c>
      <c r="E9" s="2" t="s">
        <v>284</v>
      </c>
      <c r="F9" s="2" t="s">
        <v>7</v>
      </c>
      <c r="G9" s="191">
        <f t="shared" ref="G9:H9" si="0">+G8</f>
        <v>2.9600000000000001E-2</v>
      </c>
      <c r="H9" s="191">
        <f t="shared" si="0"/>
        <v>0.1744</v>
      </c>
      <c r="I9" s="192">
        <v>44377</v>
      </c>
      <c r="J9" s="192">
        <v>44392</v>
      </c>
      <c r="K9" s="192">
        <v>43613</v>
      </c>
      <c r="L9" s="193" t="s">
        <v>234</v>
      </c>
      <c r="M9" s="81">
        <v>7302.48</v>
      </c>
      <c r="N9" s="69"/>
      <c r="O9" s="69">
        <f>M9+N9</f>
        <v>7302.48</v>
      </c>
      <c r="P9" s="69"/>
      <c r="Q9" s="69"/>
      <c r="R9" s="69"/>
      <c r="S9" s="70">
        <f>Q9+R9</f>
        <v>0</v>
      </c>
    </row>
    <row r="10" spans="1:20" ht="35.25" customHeight="1" x14ac:dyDescent="0.25">
      <c r="B10" s="343" t="s">
        <v>263</v>
      </c>
      <c r="C10" s="243" t="s">
        <v>264</v>
      </c>
      <c r="D10" s="95" t="s">
        <v>254</v>
      </c>
      <c r="E10" s="2" t="s">
        <v>265</v>
      </c>
      <c r="F10" s="2" t="s">
        <v>7</v>
      </c>
      <c r="G10" s="191">
        <f t="shared" ref="G10:H10" si="1">+G9</f>
        <v>2.9600000000000001E-2</v>
      </c>
      <c r="H10" s="191">
        <f t="shared" si="1"/>
        <v>0.1744</v>
      </c>
      <c r="I10" s="192">
        <v>44834</v>
      </c>
      <c r="J10" s="192">
        <v>44849</v>
      </c>
      <c r="K10" s="192">
        <v>43613</v>
      </c>
      <c r="L10" s="193" t="s">
        <v>266</v>
      </c>
      <c r="M10" s="67">
        <v>10000</v>
      </c>
      <c r="N10" s="69"/>
      <c r="O10" s="69">
        <f>M10+N10</f>
        <v>10000</v>
      </c>
      <c r="P10" s="69"/>
      <c r="Q10" s="69"/>
      <c r="R10" s="69"/>
      <c r="S10" s="70">
        <f>Q10+R10</f>
        <v>0</v>
      </c>
    </row>
    <row r="11" spans="1:20" ht="12.75" customHeight="1" x14ac:dyDescent="0.25">
      <c r="B11" s="343"/>
      <c r="C11" s="97"/>
      <c r="D11" s="206"/>
      <c r="E11" s="206"/>
      <c r="F11" s="45"/>
      <c r="G11" s="208"/>
      <c r="H11" s="208"/>
      <c r="I11" s="211"/>
      <c r="J11" s="211"/>
      <c r="K11" s="211"/>
      <c r="L11" s="193"/>
      <c r="M11" s="29"/>
      <c r="N11" s="29"/>
      <c r="O11" s="29"/>
      <c r="P11" s="29"/>
      <c r="Q11" s="29"/>
      <c r="R11" s="29"/>
      <c r="S11" s="27"/>
    </row>
    <row r="12" spans="1:20" ht="28.5" customHeight="1" x14ac:dyDescent="0.25">
      <c r="B12" s="2" t="s">
        <v>318</v>
      </c>
      <c r="C12" s="243" t="s">
        <v>242</v>
      </c>
      <c r="D12" s="95" t="s">
        <v>243</v>
      </c>
      <c r="E12" s="2" t="s">
        <v>319</v>
      </c>
      <c r="F12" s="2" t="s">
        <v>7</v>
      </c>
      <c r="G12" s="191">
        <v>2.9600000000000001E-2</v>
      </c>
      <c r="H12" s="191">
        <v>0.1744</v>
      </c>
      <c r="I12" s="192">
        <v>44561</v>
      </c>
      <c r="J12" s="192">
        <v>44576</v>
      </c>
      <c r="K12" s="192">
        <v>43980</v>
      </c>
      <c r="L12" s="193" t="s">
        <v>320</v>
      </c>
      <c r="M12" s="81">
        <v>3000</v>
      </c>
      <c r="N12" s="69"/>
      <c r="O12" s="69">
        <f t="shared" ref="O12:O14" si="2">M12+N12</f>
        <v>3000</v>
      </c>
      <c r="P12" s="68"/>
      <c r="Q12" s="69"/>
      <c r="R12" s="69"/>
      <c r="S12" s="70">
        <f t="shared" ref="S12:S14" si="3">Q12+R12</f>
        <v>0</v>
      </c>
    </row>
    <row r="13" spans="1:20" ht="28.5" customHeight="1" x14ac:dyDescent="0.25">
      <c r="B13" s="2" t="s">
        <v>321</v>
      </c>
      <c r="C13" s="243" t="s">
        <v>264</v>
      </c>
      <c r="D13" s="95" t="s">
        <v>254</v>
      </c>
      <c r="E13" s="2" t="s">
        <v>322</v>
      </c>
      <c r="F13" s="2" t="s">
        <v>7</v>
      </c>
      <c r="G13" s="191">
        <v>2.9600000000000001E-2</v>
      </c>
      <c r="H13" s="191">
        <v>0.1744</v>
      </c>
      <c r="I13" s="192">
        <v>44742</v>
      </c>
      <c r="J13" s="192">
        <v>44757</v>
      </c>
      <c r="K13" s="192">
        <v>43979</v>
      </c>
      <c r="L13" s="193" t="s">
        <v>323</v>
      </c>
      <c r="M13" s="81">
        <v>1027</v>
      </c>
      <c r="N13" s="69"/>
      <c r="O13" s="69">
        <f t="shared" si="2"/>
        <v>1027</v>
      </c>
      <c r="P13" s="68"/>
      <c r="Q13" s="69">
        <v>1027</v>
      </c>
      <c r="R13" s="69"/>
      <c r="S13" s="70">
        <f t="shared" si="3"/>
        <v>1027</v>
      </c>
    </row>
    <row r="14" spans="1:20" ht="28.5" customHeight="1" x14ac:dyDescent="0.25">
      <c r="B14" s="2" t="s">
        <v>327</v>
      </c>
      <c r="C14" s="243" t="s">
        <v>242</v>
      </c>
      <c r="D14" s="95" t="s">
        <v>328</v>
      </c>
      <c r="E14" s="2" t="s">
        <v>329</v>
      </c>
      <c r="F14" s="2" t="s">
        <v>7</v>
      </c>
      <c r="G14" s="191">
        <v>2.9600000000000001E-2</v>
      </c>
      <c r="H14" s="191">
        <v>0.1744</v>
      </c>
      <c r="I14" s="192">
        <v>44440</v>
      </c>
      <c r="J14" s="192">
        <v>44440</v>
      </c>
      <c r="K14" s="192">
        <v>44201</v>
      </c>
      <c r="L14" s="193" t="s">
        <v>330</v>
      </c>
      <c r="M14" s="81">
        <v>312746.86</v>
      </c>
      <c r="N14" s="69"/>
      <c r="O14" s="69">
        <f t="shared" si="2"/>
        <v>312746.86</v>
      </c>
      <c r="P14" s="68"/>
      <c r="Q14" s="69"/>
      <c r="R14" s="69"/>
      <c r="S14" s="70">
        <f t="shared" si="3"/>
        <v>0</v>
      </c>
    </row>
    <row r="15" spans="1:20" ht="12.75" customHeight="1" x14ac:dyDescent="0.25">
      <c r="B15" s="315"/>
      <c r="C15" s="243"/>
      <c r="D15" s="315"/>
      <c r="E15" s="315"/>
      <c r="F15" s="45"/>
      <c r="G15" s="208"/>
      <c r="H15" s="208"/>
      <c r="I15" s="211"/>
      <c r="J15" s="211"/>
      <c r="K15" s="211"/>
      <c r="L15" s="193"/>
      <c r="M15" s="29"/>
      <c r="N15" s="29"/>
      <c r="O15" s="29"/>
      <c r="P15" s="29"/>
      <c r="Q15" s="29"/>
      <c r="R15" s="29"/>
      <c r="S15" s="27"/>
    </row>
    <row r="16" spans="1:20" ht="21" customHeight="1" x14ac:dyDescent="0.25">
      <c r="C16" s="4"/>
      <c r="D16" s="4"/>
      <c r="G16" s="207"/>
      <c r="H16" s="191"/>
      <c r="I16" s="192"/>
      <c r="J16" s="192"/>
      <c r="K16" s="192"/>
      <c r="L16" s="210" t="s">
        <v>38</v>
      </c>
      <c r="M16" s="284">
        <f>SUM(M7:M15)</f>
        <v>513380.28</v>
      </c>
      <c r="N16" s="284">
        <f t="shared" ref="N16:O16" si="4">SUM(N7:N15)</f>
        <v>0</v>
      </c>
      <c r="O16" s="284">
        <f t="shared" si="4"/>
        <v>513380.28</v>
      </c>
      <c r="Q16" s="284">
        <f t="shared" ref="Q16:S16" si="5">SUM(Q7:Q15)</f>
        <v>100583.89</v>
      </c>
      <c r="R16" s="284">
        <f t="shared" si="5"/>
        <v>0</v>
      </c>
      <c r="S16" s="23">
        <f t="shared" si="5"/>
        <v>100583.89</v>
      </c>
    </row>
    <row r="17" spans="2:19" x14ac:dyDescent="0.25">
      <c r="C17" s="4"/>
      <c r="D17" s="4"/>
      <c r="I17" s="119"/>
      <c r="J17" s="119"/>
      <c r="K17" s="119"/>
      <c r="L17" s="5"/>
      <c r="M17" s="68"/>
      <c r="N17" s="68"/>
      <c r="O17" s="68"/>
      <c r="Q17" s="68"/>
      <c r="R17" s="68"/>
      <c r="S17" s="70"/>
    </row>
    <row r="18" spans="2:19" x14ac:dyDescent="0.25">
      <c r="C18" s="4"/>
      <c r="D18" s="4"/>
      <c r="I18" s="119"/>
      <c r="J18" s="119"/>
      <c r="K18" s="119"/>
      <c r="L18" s="5"/>
      <c r="M18" s="68"/>
      <c r="N18" s="68"/>
      <c r="O18" s="68"/>
      <c r="Q18" s="68"/>
      <c r="R18" s="68"/>
      <c r="S18" s="70"/>
    </row>
    <row r="19" spans="2:19" x14ac:dyDescent="0.25">
      <c r="C19" s="4"/>
      <c r="D19" s="4"/>
      <c r="I19" s="119"/>
      <c r="J19" s="119"/>
      <c r="K19" s="119"/>
      <c r="L19" s="5"/>
      <c r="M19" s="68"/>
      <c r="N19" s="68"/>
      <c r="O19" s="68"/>
      <c r="Q19" s="68"/>
      <c r="R19" s="68"/>
      <c r="S19" s="70"/>
    </row>
    <row r="20" spans="2:19" x14ac:dyDescent="0.25">
      <c r="B20" s="8" t="s">
        <v>125</v>
      </c>
      <c r="C20" s="94"/>
      <c r="D20" s="94"/>
      <c r="L20" s="5"/>
      <c r="M20" s="68"/>
      <c r="N20" s="68"/>
      <c r="O20" s="68"/>
      <c r="Q20" s="68"/>
      <c r="R20" s="68"/>
      <c r="S20" s="70"/>
    </row>
    <row r="21" spans="2:19" ht="28.5" customHeight="1" x14ac:dyDescent="0.25">
      <c r="B21" s="338" t="s">
        <v>126</v>
      </c>
      <c r="C21" s="338"/>
      <c r="D21" s="338"/>
      <c r="E21" s="338"/>
      <c r="F21" s="338"/>
      <c r="G21" s="120"/>
      <c r="H21" s="120"/>
      <c r="I21" s="114"/>
      <c r="L21" s="5"/>
      <c r="M21" s="68"/>
      <c r="N21" s="68"/>
      <c r="O21" s="68"/>
      <c r="Q21" s="68"/>
      <c r="R21" s="68"/>
      <c r="S21" s="70"/>
    </row>
    <row r="22" spans="2:19" x14ac:dyDescent="0.25">
      <c r="C22" s="94"/>
      <c r="D22" s="94"/>
      <c r="L22" s="5"/>
      <c r="M22" s="68"/>
      <c r="N22" s="68"/>
      <c r="O22" s="68"/>
      <c r="Q22" s="68"/>
      <c r="R22" s="68"/>
      <c r="S22" s="70"/>
    </row>
    <row r="23" spans="2:19" ht="51" customHeight="1" x14ac:dyDescent="0.25">
      <c r="B23" s="338" t="s">
        <v>129</v>
      </c>
      <c r="C23" s="338"/>
      <c r="D23" s="338"/>
      <c r="E23" s="338"/>
      <c r="F23" s="338"/>
      <c r="G23" s="120"/>
      <c r="H23" s="120"/>
      <c r="I23" s="114"/>
      <c r="L23" s="5"/>
      <c r="M23" s="68"/>
      <c r="N23" s="68"/>
      <c r="O23" s="68"/>
      <c r="Q23" s="68"/>
      <c r="R23" s="68"/>
      <c r="S23" s="70"/>
    </row>
    <row r="24" spans="2:19" x14ac:dyDescent="0.25">
      <c r="B24" s="111"/>
      <c r="C24" s="111"/>
      <c r="D24" s="111"/>
      <c r="E24" s="111"/>
      <c r="F24" s="111"/>
      <c r="G24" s="120"/>
      <c r="H24" s="120"/>
      <c r="I24" s="114"/>
      <c r="L24" s="5"/>
      <c r="M24" s="68"/>
      <c r="N24" s="68"/>
      <c r="O24" s="68"/>
      <c r="Q24" s="68"/>
      <c r="R24" s="68"/>
      <c r="S24" s="70"/>
    </row>
    <row r="25" spans="2:19" ht="29.25" customHeight="1" x14ac:dyDescent="0.25">
      <c r="B25" s="338" t="s">
        <v>160</v>
      </c>
      <c r="C25" s="338"/>
      <c r="D25" s="338"/>
      <c r="E25" s="338"/>
      <c r="F25" s="338"/>
      <c r="G25" s="198"/>
      <c r="H25" s="198"/>
      <c r="I25" s="198"/>
      <c r="L25" s="5"/>
      <c r="M25" s="68"/>
      <c r="N25" s="68"/>
      <c r="O25" s="68"/>
      <c r="Q25" s="68"/>
      <c r="R25" s="68"/>
      <c r="S25" s="70"/>
    </row>
    <row r="26" spans="2:19" ht="15" customHeight="1" x14ac:dyDescent="0.25">
      <c r="B26" s="346" t="s">
        <v>159</v>
      </c>
      <c r="C26" s="338"/>
      <c r="D26" s="338"/>
      <c r="E26" s="338"/>
      <c r="F26" s="338"/>
      <c r="G26" s="198"/>
      <c r="H26" s="198"/>
      <c r="I26" s="198"/>
      <c r="L26" s="5"/>
      <c r="M26" s="68"/>
      <c r="N26" s="68"/>
      <c r="O26" s="68"/>
      <c r="Q26" s="68"/>
      <c r="R26" s="68"/>
      <c r="S26" s="70"/>
    </row>
    <row r="27" spans="2:19" ht="15" customHeight="1" x14ac:dyDescent="0.25">
      <c r="B27" s="200"/>
      <c r="C27" s="200"/>
      <c r="D27" s="200"/>
      <c r="E27" s="200"/>
      <c r="F27" s="200"/>
      <c r="G27" s="200"/>
      <c r="H27" s="200"/>
      <c r="I27" s="200"/>
      <c r="L27" s="5"/>
      <c r="M27" s="68"/>
      <c r="N27" s="68"/>
      <c r="O27" s="68"/>
      <c r="Q27" s="68"/>
      <c r="R27" s="68"/>
      <c r="S27" s="70"/>
    </row>
    <row r="28" spans="2:19" x14ac:dyDescent="0.25">
      <c r="B28" s="7" t="s">
        <v>109</v>
      </c>
      <c r="C28" s="104" t="s">
        <v>112</v>
      </c>
      <c r="D28" s="104" t="s">
        <v>113</v>
      </c>
      <c r="E28" s="111"/>
      <c r="F28" s="111"/>
      <c r="G28" s="120"/>
      <c r="H28" s="120"/>
      <c r="I28" s="114"/>
      <c r="L28" s="5"/>
      <c r="M28" s="68"/>
      <c r="N28" s="68"/>
      <c r="O28" s="68"/>
      <c r="Q28" s="68"/>
      <c r="R28" s="68"/>
      <c r="S28" s="70"/>
    </row>
    <row r="29" spans="2:19" x14ac:dyDescent="0.25">
      <c r="B29" s="19" t="s">
        <v>111</v>
      </c>
      <c r="C29" s="94" t="s">
        <v>114</v>
      </c>
      <c r="D29" s="94" t="s">
        <v>119</v>
      </c>
      <c r="L29" s="5"/>
      <c r="M29" s="68"/>
      <c r="N29" s="68"/>
      <c r="O29" s="68"/>
      <c r="Q29" s="68"/>
      <c r="R29" s="68"/>
      <c r="S29" s="70"/>
    </row>
    <row r="30" spans="2:19" x14ac:dyDescent="0.25">
      <c r="B30" s="2" t="s">
        <v>252</v>
      </c>
      <c r="C30" s="94" t="s">
        <v>135</v>
      </c>
      <c r="D30" s="94" t="s">
        <v>147</v>
      </c>
      <c r="L30" s="5"/>
      <c r="M30" s="68"/>
      <c r="N30" s="68"/>
      <c r="O30" s="68"/>
      <c r="Q30" s="68"/>
      <c r="R30" s="68"/>
      <c r="S30" s="70"/>
    </row>
    <row r="31" spans="2:19" x14ac:dyDescent="0.25">
      <c r="B31" s="2" t="s">
        <v>260</v>
      </c>
      <c r="C31" s="94" t="s">
        <v>135</v>
      </c>
      <c r="D31" s="94" t="s">
        <v>147</v>
      </c>
      <c r="L31" s="5"/>
      <c r="M31" s="68"/>
      <c r="N31" s="68"/>
      <c r="O31" s="68"/>
      <c r="Q31" s="68"/>
      <c r="R31" s="68"/>
      <c r="S31" s="70"/>
    </row>
    <row r="32" spans="2:19" x14ac:dyDescent="0.25">
      <c r="B32" s="2" t="s">
        <v>261</v>
      </c>
      <c r="C32" s="94" t="s">
        <v>179</v>
      </c>
      <c r="D32" s="94" t="s">
        <v>262</v>
      </c>
      <c r="L32" s="5"/>
      <c r="M32" s="68"/>
      <c r="N32" s="68"/>
      <c r="O32" s="68"/>
      <c r="Q32" s="68"/>
      <c r="R32" s="68"/>
      <c r="S32" s="70"/>
    </row>
    <row r="33" spans="2:20" x14ac:dyDescent="0.25">
      <c r="B33" s="2" t="s">
        <v>318</v>
      </c>
      <c r="C33" s="94" t="s">
        <v>135</v>
      </c>
      <c r="D33" s="94" t="s">
        <v>147</v>
      </c>
      <c r="L33" s="5"/>
      <c r="M33" s="68"/>
      <c r="N33" s="68"/>
      <c r="O33" s="68"/>
      <c r="Q33" s="68"/>
      <c r="R33" s="68"/>
      <c r="S33" s="70"/>
    </row>
    <row r="34" spans="2:20" x14ac:dyDescent="0.25">
      <c r="B34" s="2" t="s">
        <v>321</v>
      </c>
      <c r="C34" s="94" t="s">
        <v>135</v>
      </c>
      <c r="D34" s="94" t="s">
        <v>147</v>
      </c>
      <c r="L34" s="5"/>
      <c r="M34" s="68"/>
      <c r="N34" s="68"/>
      <c r="O34" s="68"/>
      <c r="Q34" s="68"/>
      <c r="R34" s="68"/>
      <c r="S34" s="70"/>
    </row>
    <row r="35" spans="2:20" x14ac:dyDescent="0.25">
      <c r="B35" s="2" t="s">
        <v>326</v>
      </c>
      <c r="C35" s="94" t="s">
        <v>135</v>
      </c>
      <c r="D35" s="94" t="s">
        <v>147</v>
      </c>
      <c r="L35" s="5"/>
      <c r="M35" s="68"/>
      <c r="N35" s="68"/>
      <c r="O35" s="68"/>
      <c r="Q35" s="68"/>
      <c r="R35" s="68"/>
      <c r="S35" s="70"/>
    </row>
    <row r="36" spans="2:20" x14ac:dyDescent="0.25">
      <c r="C36" s="94"/>
      <c r="D36" s="94"/>
      <c r="L36" s="5"/>
      <c r="M36" s="68"/>
      <c r="N36" s="68"/>
      <c r="O36" s="68"/>
      <c r="Q36" s="68"/>
      <c r="R36" s="68"/>
      <c r="S36" s="70"/>
    </row>
    <row r="37" spans="2:20" x14ac:dyDescent="0.25">
      <c r="B37" s="347" t="s">
        <v>235</v>
      </c>
      <c r="C37" s="333"/>
      <c r="D37" s="333"/>
      <c r="E37" s="333"/>
      <c r="F37" s="333"/>
      <c r="G37" s="333"/>
      <c r="H37" s="333"/>
      <c r="L37" s="5"/>
      <c r="M37" s="68"/>
      <c r="N37" s="68"/>
      <c r="O37" s="68"/>
      <c r="Q37" s="68"/>
      <c r="R37" s="68"/>
      <c r="S37" s="70"/>
    </row>
    <row r="38" spans="2:20" x14ac:dyDescent="0.25">
      <c r="B38" s="249" t="s">
        <v>236</v>
      </c>
      <c r="C38" s="94"/>
      <c r="D38" s="94"/>
      <c r="L38" s="5"/>
      <c r="M38" s="68"/>
      <c r="N38" s="68"/>
      <c r="O38" s="68"/>
      <c r="Q38" s="68"/>
      <c r="R38" s="68"/>
      <c r="S38" s="70"/>
    </row>
    <row r="39" spans="2:20" x14ac:dyDescent="0.25">
      <c r="B39" s="128"/>
      <c r="C39" s="4"/>
      <c r="D39" s="4"/>
      <c r="L39" s="5"/>
      <c r="M39" s="68"/>
      <c r="N39" s="68"/>
      <c r="O39" s="68"/>
      <c r="Q39" s="68"/>
      <c r="R39" s="68"/>
      <c r="S39" s="70"/>
    </row>
    <row r="40" spans="2:20" ht="15" customHeight="1" x14ac:dyDescent="0.25">
      <c r="B40" s="178"/>
      <c r="C40" s="112"/>
      <c r="D40" s="112"/>
      <c r="E40" s="112"/>
      <c r="F40" s="112"/>
      <c r="G40" s="112"/>
      <c r="H40" s="112"/>
      <c r="I40" s="112"/>
      <c r="J40" s="112"/>
      <c r="K40" s="112"/>
      <c r="L40" s="112"/>
      <c r="M40" s="112"/>
      <c r="N40" s="112"/>
      <c r="O40" s="112"/>
      <c r="P40" s="112"/>
      <c r="Q40" s="171" t="s">
        <v>90</v>
      </c>
      <c r="R40" s="168"/>
      <c r="S40" s="169"/>
    </row>
    <row r="41" spans="2:20" ht="15" customHeight="1" x14ac:dyDescent="0.25">
      <c r="B41" s="180" t="s">
        <v>39</v>
      </c>
      <c r="C41" s="162" t="s">
        <v>2</v>
      </c>
      <c r="D41" s="162"/>
      <c r="E41" s="162" t="s">
        <v>34</v>
      </c>
      <c r="F41" s="162" t="s">
        <v>35</v>
      </c>
      <c r="G41" s="162"/>
      <c r="H41" s="162"/>
      <c r="I41" s="162"/>
      <c r="J41" s="162"/>
      <c r="K41" s="162"/>
      <c r="L41" s="162" t="s">
        <v>36</v>
      </c>
      <c r="M41" s="162" t="s">
        <v>37</v>
      </c>
      <c r="N41" s="47"/>
      <c r="O41" s="47"/>
      <c r="P41" s="47"/>
      <c r="Q41" s="54" t="s">
        <v>88</v>
      </c>
      <c r="R41" s="54"/>
      <c r="S41" s="55"/>
      <c r="T41" s="51"/>
    </row>
    <row r="42" spans="2:20" ht="15" customHeight="1" x14ac:dyDescent="0.25">
      <c r="B42" s="65"/>
      <c r="C42" s="9"/>
      <c r="D42" s="9"/>
      <c r="E42" s="9"/>
      <c r="F42" s="9"/>
      <c r="G42" s="9"/>
      <c r="H42" s="9"/>
      <c r="I42" s="9"/>
      <c r="J42" s="9"/>
      <c r="K42" s="9"/>
      <c r="L42" s="9"/>
      <c r="M42" s="9"/>
      <c r="N42" s="45"/>
      <c r="O42" s="45"/>
      <c r="P42" s="45"/>
      <c r="Q42" s="59"/>
      <c r="R42" s="50"/>
      <c r="S42" s="50"/>
      <c r="T42" s="51"/>
    </row>
    <row r="43" spans="2:20" x14ac:dyDescent="0.25">
      <c r="B43" s="65"/>
      <c r="C43" s="9"/>
      <c r="D43" s="9"/>
      <c r="E43" s="9"/>
      <c r="F43" s="9"/>
      <c r="G43" s="9"/>
      <c r="H43" s="9"/>
      <c r="I43" s="9"/>
      <c r="J43" s="9"/>
      <c r="K43" s="9"/>
      <c r="L43" s="9"/>
      <c r="M43" s="9"/>
      <c r="N43" s="45"/>
      <c r="O43" s="45"/>
      <c r="P43" s="45"/>
      <c r="T43" s="51"/>
    </row>
    <row r="44" spans="2:20" x14ac:dyDescent="0.25">
      <c r="C44" s="13"/>
      <c r="D44" s="13"/>
      <c r="E44" s="41"/>
      <c r="F44" s="71"/>
      <c r="G44" s="71"/>
      <c r="H44" s="71"/>
      <c r="I44" s="71"/>
      <c r="J44" s="71"/>
      <c r="K44" s="71"/>
      <c r="L44" s="33"/>
      <c r="M44" s="31"/>
      <c r="T44" s="51"/>
    </row>
    <row r="45" spans="2:20" x14ac:dyDescent="0.25">
      <c r="B45" s="12"/>
      <c r="C45" s="13"/>
      <c r="D45" s="13"/>
      <c r="E45" s="14"/>
      <c r="F45" s="15"/>
      <c r="G45" s="15"/>
      <c r="H45" s="15"/>
      <c r="I45" s="15"/>
      <c r="J45" s="15"/>
      <c r="K45" s="15"/>
      <c r="L45" s="16"/>
      <c r="M45" s="31"/>
      <c r="N45" s="18"/>
      <c r="O45" s="18"/>
      <c r="P45" s="18"/>
    </row>
    <row r="46" spans="2:20" x14ac:dyDescent="0.25">
      <c r="B46" s="12"/>
      <c r="C46" s="13"/>
      <c r="D46" s="13"/>
      <c r="E46" s="14"/>
      <c r="F46" s="15"/>
      <c r="G46" s="15"/>
      <c r="H46" s="15"/>
      <c r="I46" s="15"/>
      <c r="J46" s="15"/>
      <c r="K46" s="15"/>
      <c r="L46" s="16"/>
      <c r="M46" s="31"/>
      <c r="N46" s="18"/>
      <c r="O46" s="18"/>
      <c r="P46" s="18"/>
    </row>
    <row r="47" spans="2:20" x14ac:dyDescent="0.25">
      <c r="B47" s="12"/>
      <c r="C47" s="13"/>
      <c r="D47" s="13"/>
      <c r="E47" s="14"/>
      <c r="F47" s="15"/>
      <c r="G47" s="15"/>
      <c r="H47" s="15"/>
      <c r="I47" s="15"/>
      <c r="J47" s="15"/>
      <c r="K47" s="15"/>
      <c r="L47" s="16"/>
      <c r="M47" s="31"/>
      <c r="N47" s="18"/>
      <c r="O47" s="18"/>
      <c r="P47" s="18"/>
    </row>
    <row r="48" spans="2:20" x14ac:dyDescent="0.25">
      <c r="B48" s="12"/>
      <c r="C48" s="13"/>
      <c r="D48" s="13"/>
      <c r="E48" s="14"/>
      <c r="F48" s="15"/>
      <c r="G48" s="15"/>
      <c r="H48" s="15"/>
      <c r="I48" s="15"/>
      <c r="J48" s="15"/>
      <c r="K48" s="15"/>
      <c r="L48" s="16"/>
      <c r="M48" s="31"/>
      <c r="N48" s="18"/>
      <c r="O48" s="18"/>
      <c r="P48" s="18"/>
    </row>
    <row r="50" spans="17:19" x14ac:dyDescent="0.25">
      <c r="Q50" s="325" t="s">
        <v>343</v>
      </c>
      <c r="R50" s="325"/>
      <c r="S50" s="327">
        <f>S16</f>
        <v>100583.89</v>
      </c>
    </row>
  </sheetData>
  <mergeCells count="8">
    <mergeCell ref="B37:H37"/>
    <mergeCell ref="B26:F26"/>
    <mergeCell ref="Q2:S2"/>
    <mergeCell ref="Q1:S1"/>
    <mergeCell ref="B21:F21"/>
    <mergeCell ref="B23:F23"/>
    <mergeCell ref="B25:F25"/>
    <mergeCell ref="B10:B11"/>
  </mergeCells>
  <hyperlinks>
    <hyperlink ref="B26" r:id="rId1"/>
  </hyperlinks>
  <printOptions horizontalCentered="1" gridLines="1"/>
  <pageMargins left="0" right="0" top="0.75" bottom="0.75" header="0.3" footer="0.3"/>
  <pageSetup scale="54" orientation="landscape" horizontalDpi="1200" verticalDpi="1200"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2"/>
  <sheetViews>
    <sheetView topLeftCell="E27" zoomScale="120" zoomScaleNormal="120" workbookViewId="0">
      <selection activeCell="S50" sqref="S50"/>
    </sheetView>
  </sheetViews>
  <sheetFormatPr defaultColWidth="9.140625" defaultRowHeight="15" x14ac:dyDescent="0.25"/>
  <cols>
    <col min="1" max="1" width="9.140625" style="2" hidden="1" customWidth="1"/>
    <col min="2" max="2" width="58.5703125" style="2" customWidth="1"/>
    <col min="3" max="3" width="26.85546875" style="2" customWidth="1"/>
    <col min="4" max="4" width="13.7109375" style="2" customWidth="1"/>
    <col min="5" max="5" width="17.5703125" style="2" customWidth="1"/>
    <col min="6" max="6" width="22" style="2" customWidth="1"/>
    <col min="7" max="7" width="10.28515625" style="2" customWidth="1"/>
    <col min="8" max="8" width="12.85546875" style="2" customWidth="1"/>
    <col min="9" max="9" width="13.42578125" style="2" customWidth="1"/>
    <col min="10" max="10" width="15.7109375" style="2" customWidth="1"/>
    <col min="11" max="11" width="8.85546875" style="2" customWidth="1"/>
    <col min="12" max="12" width="17.57031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6.7109375" style="2" customWidth="1"/>
    <col min="20" max="16384" width="9.140625" style="2"/>
  </cols>
  <sheetData>
    <row r="1" spans="1:20" ht="18" customHeight="1" x14ac:dyDescent="0.25">
      <c r="A1" s="2" t="s">
        <v>342</v>
      </c>
      <c r="B1" s="8" t="s">
        <v>10</v>
      </c>
      <c r="Q1" s="335" t="s">
        <v>230</v>
      </c>
      <c r="R1" s="335"/>
      <c r="S1" s="335"/>
    </row>
    <row r="2" spans="1:20" ht="18" customHeight="1" x14ac:dyDescent="0.25">
      <c r="B2" s="90" t="s">
        <v>148</v>
      </c>
      <c r="C2" s="187">
        <v>44377</v>
      </c>
      <c r="M2" s="73"/>
      <c r="N2" s="73"/>
      <c r="P2" s="29"/>
      <c r="Q2" s="334" t="s">
        <v>338</v>
      </c>
      <c r="R2" s="334"/>
      <c r="S2" s="334"/>
    </row>
    <row r="3" spans="1:20" ht="18" customHeight="1" thickBot="1" x14ac:dyDescent="0.3">
      <c r="A3" s="2" t="s">
        <v>16</v>
      </c>
      <c r="B3" s="44" t="s">
        <v>53</v>
      </c>
      <c r="C3" s="8"/>
      <c r="D3" s="8"/>
      <c r="E3" s="8"/>
      <c r="P3" s="29"/>
      <c r="Q3" s="45"/>
      <c r="R3" s="30"/>
    </row>
    <row r="4" spans="1:20" ht="18.75" customHeight="1" x14ac:dyDescent="0.25">
      <c r="B4" s="8" t="s">
        <v>174</v>
      </c>
      <c r="M4" s="87" t="s">
        <v>28</v>
      </c>
      <c r="N4" s="87" t="s">
        <v>28</v>
      </c>
      <c r="O4" s="87" t="s">
        <v>28</v>
      </c>
      <c r="P4" s="9"/>
      <c r="Q4" s="91" t="s">
        <v>29</v>
      </c>
      <c r="R4" s="91" t="s">
        <v>31</v>
      </c>
      <c r="S4" s="91" t="s">
        <v>23</v>
      </c>
      <c r="T4" s="7"/>
    </row>
    <row r="5" spans="1:20" ht="15.75" thickBot="1" x14ac:dyDescent="0.3">
      <c r="G5" s="188" t="s">
        <v>231</v>
      </c>
      <c r="H5" s="188" t="s">
        <v>231</v>
      </c>
      <c r="M5" s="88" t="s">
        <v>27</v>
      </c>
      <c r="N5" s="88" t="s">
        <v>26</v>
      </c>
      <c r="O5" s="88" t="s">
        <v>25</v>
      </c>
      <c r="P5" s="9"/>
      <c r="Q5" s="92" t="s">
        <v>30</v>
      </c>
      <c r="R5" s="92" t="s">
        <v>30</v>
      </c>
      <c r="S5" s="92" t="s">
        <v>30</v>
      </c>
      <c r="T5" s="7"/>
    </row>
    <row r="6" spans="1:20" ht="85.5" customHeight="1" thickBot="1" x14ac:dyDescent="0.3">
      <c r="B6" s="86" t="s">
        <v>1</v>
      </c>
      <c r="C6" s="86" t="s">
        <v>127</v>
      </c>
      <c r="D6" s="86" t="s">
        <v>107</v>
      </c>
      <c r="E6" s="86" t="s">
        <v>3</v>
      </c>
      <c r="F6" s="86" t="s">
        <v>4</v>
      </c>
      <c r="G6" s="110" t="s">
        <v>136</v>
      </c>
      <c r="H6" s="110" t="s">
        <v>137</v>
      </c>
      <c r="I6" s="110" t="s">
        <v>133</v>
      </c>
      <c r="J6" s="110" t="s">
        <v>134</v>
      </c>
      <c r="K6" s="110" t="s">
        <v>121</v>
      </c>
      <c r="L6" s="85" t="s">
        <v>5</v>
      </c>
      <c r="M6" s="89" t="s">
        <v>6</v>
      </c>
      <c r="N6" s="89" t="s">
        <v>6</v>
      </c>
      <c r="O6" s="89" t="s">
        <v>6</v>
      </c>
      <c r="P6" s="9"/>
      <c r="Q6" s="93"/>
      <c r="R6" s="99" t="s">
        <v>32</v>
      </c>
      <c r="S6" s="100" t="s">
        <v>33</v>
      </c>
    </row>
    <row r="7" spans="1:20" ht="33" customHeight="1" x14ac:dyDescent="0.25">
      <c r="B7" s="2" t="s">
        <v>8</v>
      </c>
      <c r="C7" s="94" t="s">
        <v>106</v>
      </c>
      <c r="D7" s="94" t="s">
        <v>246</v>
      </c>
      <c r="E7" s="2" t="s">
        <v>232</v>
      </c>
      <c r="F7" s="2" t="s">
        <v>7</v>
      </c>
      <c r="G7" s="191">
        <v>2.9600000000000001E-2</v>
      </c>
      <c r="H7" s="191">
        <v>0.1744</v>
      </c>
      <c r="I7" s="192">
        <v>44377</v>
      </c>
      <c r="J7" s="192">
        <v>44378</v>
      </c>
      <c r="K7" s="192">
        <v>44013</v>
      </c>
      <c r="L7" s="193" t="s">
        <v>234</v>
      </c>
      <c r="M7" s="67">
        <v>40093.14</v>
      </c>
      <c r="N7" s="68">
        <f>40127.64-M7</f>
        <v>34.5</v>
      </c>
      <c r="O7" s="68">
        <f t="shared" ref="O7:O12" si="0">M7+N7</f>
        <v>40127.64</v>
      </c>
      <c r="P7" s="68"/>
      <c r="Q7" s="68">
        <f>16141.59+8511.23</f>
        <v>24652.82</v>
      </c>
      <c r="R7" s="68"/>
      <c r="S7" s="70">
        <f t="shared" ref="S7:S12" si="1">Q7+R7</f>
        <v>24652.82</v>
      </c>
    </row>
    <row r="8" spans="1:20" ht="30" customHeight="1" x14ac:dyDescent="0.25">
      <c r="B8" s="2" t="s">
        <v>128</v>
      </c>
      <c r="C8" s="232" t="s">
        <v>122</v>
      </c>
      <c r="D8" s="95" t="s">
        <v>248</v>
      </c>
      <c r="E8" s="2" t="s">
        <v>233</v>
      </c>
      <c r="F8" s="2" t="s">
        <v>7</v>
      </c>
      <c r="G8" s="191">
        <f>+G7</f>
        <v>2.9600000000000001E-2</v>
      </c>
      <c r="H8" s="191">
        <f t="shared" ref="H8" si="2">+H7</f>
        <v>0.1744</v>
      </c>
      <c r="I8" s="192">
        <f>+I7</f>
        <v>44377</v>
      </c>
      <c r="J8" s="192">
        <f>+J7</f>
        <v>44378</v>
      </c>
      <c r="K8" s="192">
        <f>+K7</f>
        <v>44013</v>
      </c>
      <c r="L8" s="209" t="str">
        <f>+L7</f>
        <v>07/01/20 - 06/30/21</v>
      </c>
      <c r="M8" s="67">
        <v>3384.61</v>
      </c>
      <c r="N8" s="68">
        <f>4290.76+4402.3+3368.88</f>
        <v>12061.940000000002</v>
      </c>
      <c r="O8" s="68">
        <f t="shared" si="0"/>
        <v>15446.550000000003</v>
      </c>
      <c r="P8" s="68"/>
      <c r="Q8" s="68">
        <f>3384.61+4290.76+4402.3+3368.88</f>
        <v>15446.550000000003</v>
      </c>
      <c r="R8" s="68"/>
      <c r="S8" s="70">
        <f t="shared" si="1"/>
        <v>15446.550000000003</v>
      </c>
    </row>
    <row r="9" spans="1:20" ht="34.5" customHeight="1" x14ac:dyDescent="0.25">
      <c r="B9" s="2" t="s">
        <v>241</v>
      </c>
      <c r="C9" s="243" t="s">
        <v>242</v>
      </c>
      <c r="D9" s="95" t="s">
        <v>243</v>
      </c>
      <c r="E9" s="2" t="s">
        <v>244</v>
      </c>
      <c r="F9" s="2" t="s">
        <v>7</v>
      </c>
      <c r="G9" s="191">
        <v>2.9600000000000001E-2</v>
      </c>
      <c r="H9" s="191">
        <v>0.1744</v>
      </c>
      <c r="I9" s="192">
        <v>44834</v>
      </c>
      <c r="J9" s="192">
        <v>44849</v>
      </c>
      <c r="K9" s="192">
        <v>43614</v>
      </c>
      <c r="L9" s="193" t="s">
        <v>311</v>
      </c>
      <c r="M9" s="67">
        <v>23495.75</v>
      </c>
      <c r="N9" s="68"/>
      <c r="O9" s="68">
        <f t="shared" si="0"/>
        <v>23495.75</v>
      </c>
      <c r="P9" s="68"/>
      <c r="Q9" s="68"/>
      <c r="R9" s="68"/>
      <c r="S9" s="70">
        <f t="shared" si="1"/>
        <v>0</v>
      </c>
    </row>
    <row r="10" spans="1:20" ht="37.5" customHeight="1" x14ac:dyDescent="0.25">
      <c r="B10" s="287" t="s">
        <v>257</v>
      </c>
      <c r="C10" s="243" t="s">
        <v>253</v>
      </c>
      <c r="D10" s="95" t="s">
        <v>254</v>
      </c>
      <c r="E10" s="2" t="s">
        <v>255</v>
      </c>
      <c r="F10" s="2" t="s">
        <v>7</v>
      </c>
      <c r="G10" s="191">
        <f t="shared" ref="G10:H12" si="3">+G9</f>
        <v>2.9600000000000001E-2</v>
      </c>
      <c r="H10" s="191">
        <f t="shared" si="3"/>
        <v>0.1744</v>
      </c>
      <c r="I10" s="192">
        <v>44287</v>
      </c>
      <c r="J10" s="192">
        <v>44302</v>
      </c>
      <c r="K10" s="192">
        <v>43613</v>
      </c>
      <c r="L10" s="193" t="s">
        <v>312</v>
      </c>
      <c r="M10" s="67">
        <v>2343.64</v>
      </c>
      <c r="N10" s="68"/>
      <c r="O10" s="68">
        <f t="shared" si="0"/>
        <v>2343.64</v>
      </c>
      <c r="P10" s="68"/>
      <c r="Q10" s="68">
        <v>2343.64</v>
      </c>
      <c r="R10" s="68"/>
      <c r="S10" s="70">
        <f t="shared" si="1"/>
        <v>2343.64</v>
      </c>
    </row>
    <row r="11" spans="1:20" ht="34.5" customHeight="1" x14ac:dyDescent="0.25">
      <c r="B11" s="2" t="s">
        <v>283</v>
      </c>
      <c r="C11" s="243" t="s">
        <v>264</v>
      </c>
      <c r="D11" s="95" t="s">
        <v>254</v>
      </c>
      <c r="E11" s="2" t="s">
        <v>284</v>
      </c>
      <c r="F11" s="2" t="s">
        <v>7</v>
      </c>
      <c r="G11" s="191">
        <f t="shared" si="3"/>
        <v>2.9600000000000001E-2</v>
      </c>
      <c r="H11" s="191">
        <f t="shared" si="3"/>
        <v>0.1744</v>
      </c>
      <c r="I11" s="192">
        <v>44377</v>
      </c>
      <c r="J11" s="192">
        <v>44392</v>
      </c>
      <c r="K11" s="192">
        <v>43613</v>
      </c>
      <c r="L11" s="193" t="s">
        <v>234</v>
      </c>
      <c r="M11" s="81">
        <v>7302.48</v>
      </c>
      <c r="N11" s="69"/>
      <c r="O11" s="69">
        <f t="shared" si="0"/>
        <v>7302.48</v>
      </c>
      <c r="P11" s="69"/>
      <c r="Q11" s="69"/>
      <c r="R11" s="69"/>
      <c r="S11" s="70">
        <f t="shared" si="1"/>
        <v>0</v>
      </c>
    </row>
    <row r="12" spans="1:20" ht="34.5" customHeight="1" x14ac:dyDescent="0.25">
      <c r="B12" s="343" t="s">
        <v>263</v>
      </c>
      <c r="C12" s="243" t="s">
        <v>264</v>
      </c>
      <c r="D12" s="95" t="s">
        <v>254</v>
      </c>
      <c r="E12" s="2" t="s">
        <v>265</v>
      </c>
      <c r="F12" s="2" t="s">
        <v>7</v>
      </c>
      <c r="G12" s="191">
        <f t="shared" si="3"/>
        <v>2.9600000000000001E-2</v>
      </c>
      <c r="H12" s="191">
        <f t="shared" si="3"/>
        <v>0.1744</v>
      </c>
      <c r="I12" s="192">
        <v>44834</v>
      </c>
      <c r="J12" s="192">
        <v>44849</v>
      </c>
      <c r="K12" s="192">
        <v>43613</v>
      </c>
      <c r="L12" s="193" t="s">
        <v>298</v>
      </c>
      <c r="M12" s="67">
        <v>10000</v>
      </c>
      <c r="N12" s="69"/>
      <c r="O12" s="69">
        <f t="shared" si="0"/>
        <v>10000</v>
      </c>
      <c r="P12" s="69"/>
      <c r="Q12" s="69"/>
      <c r="R12" s="69"/>
      <c r="S12" s="70">
        <f t="shared" si="1"/>
        <v>0</v>
      </c>
    </row>
    <row r="13" spans="1:20" ht="16.5" customHeight="1" x14ac:dyDescent="0.25">
      <c r="B13" s="343"/>
      <c r="C13" s="94"/>
      <c r="D13" s="94"/>
      <c r="G13" s="207"/>
      <c r="H13" s="191"/>
      <c r="I13" s="192"/>
      <c r="J13" s="192"/>
      <c r="K13" s="192"/>
      <c r="L13" s="193"/>
      <c r="M13" s="29"/>
      <c r="N13" s="29"/>
      <c r="O13" s="29"/>
      <c r="P13" s="29"/>
      <c r="Q13" s="29"/>
      <c r="R13" s="29"/>
      <c r="S13" s="27"/>
    </row>
    <row r="14" spans="1:20" ht="26.25" customHeight="1" x14ac:dyDescent="0.25">
      <c r="B14" s="2" t="s">
        <v>318</v>
      </c>
      <c r="C14" s="243" t="s">
        <v>242</v>
      </c>
      <c r="D14" s="95" t="s">
        <v>243</v>
      </c>
      <c r="E14" s="2" t="s">
        <v>319</v>
      </c>
      <c r="F14" s="2" t="s">
        <v>7</v>
      </c>
      <c r="G14" s="191">
        <v>2.9600000000000001E-2</v>
      </c>
      <c r="H14" s="191">
        <v>0.1744</v>
      </c>
      <c r="I14" s="192">
        <v>44561</v>
      </c>
      <c r="J14" s="192">
        <v>44576</v>
      </c>
      <c r="K14" s="192">
        <v>43980</v>
      </c>
      <c r="L14" s="193" t="s">
        <v>320</v>
      </c>
      <c r="M14" s="81">
        <v>3000</v>
      </c>
      <c r="N14" s="69"/>
      <c r="O14" s="69">
        <f t="shared" ref="O14:O16" si="4">M14+N14</f>
        <v>3000</v>
      </c>
      <c r="P14" s="69"/>
      <c r="Q14" s="69"/>
      <c r="R14" s="69"/>
      <c r="S14" s="70">
        <f t="shared" ref="S14:S16" si="5">Q14+R14</f>
        <v>0</v>
      </c>
    </row>
    <row r="15" spans="1:20" ht="26.25" customHeight="1" x14ac:dyDescent="0.25">
      <c r="B15" s="2" t="s">
        <v>321</v>
      </c>
      <c r="C15" s="243" t="s">
        <v>264</v>
      </c>
      <c r="D15" s="95" t="s">
        <v>254</v>
      </c>
      <c r="E15" s="2" t="s">
        <v>322</v>
      </c>
      <c r="F15" s="2" t="s">
        <v>7</v>
      </c>
      <c r="G15" s="191">
        <v>2.9600000000000001E-2</v>
      </c>
      <c r="H15" s="191">
        <v>0.1744</v>
      </c>
      <c r="I15" s="192">
        <v>44742</v>
      </c>
      <c r="J15" s="192">
        <v>44757</v>
      </c>
      <c r="K15" s="192">
        <v>43979</v>
      </c>
      <c r="L15" s="193" t="s">
        <v>323</v>
      </c>
      <c r="M15" s="81">
        <v>1027</v>
      </c>
      <c r="N15" s="69"/>
      <c r="O15" s="69">
        <f t="shared" si="4"/>
        <v>1027</v>
      </c>
      <c r="P15" s="68"/>
      <c r="Q15" s="69"/>
      <c r="R15" s="69"/>
      <c r="S15" s="70">
        <f t="shared" si="5"/>
        <v>0</v>
      </c>
    </row>
    <row r="16" spans="1:20" ht="26.25" customHeight="1" x14ac:dyDescent="0.25">
      <c r="B16" s="2" t="s">
        <v>327</v>
      </c>
      <c r="C16" s="243" t="s">
        <v>242</v>
      </c>
      <c r="D16" s="95" t="s">
        <v>328</v>
      </c>
      <c r="E16" s="2" t="s">
        <v>329</v>
      </c>
      <c r="F16" s="2" t="s">
        <v>7</v>
      </c>
      <c r="G16" s="191">
        <v>2.9600000000000001E-2</v>
      </c>
      <c r="H16" s="191">
        <v>0.1744</v>
      </c>
      <c r="I16" s="192">
        <v>44440</v>
      </c>
      <c r="J16" s="192">
        <v>44440</v>
      </c>
      <c r="K16" s="192">
        <v>44201</v>
      </c>
      <c r="L16" s="193" t="s">
        <v>330</v>
      </c>
      <c r="M16" s="81">
        <v>48725.85</v>
      </c>
      <c r="N16" s="69"/>
      <c r="O16" s="69">
        <f t="shared" si="4"/>
        <v>48725.85</v>
      </c>
      <c r="P16" s="68"/>
      <c r="Q16" s="69"/>
      <c r="R16" s="69"/>
      <c r="S16" s="70">
        <f t="shared" si="5"/>
        <v>0</v>
      </c>
    </row>
    <row r="17" spans="2:19" ht="18.75" customHeight="1" x14ac:dyDescent="0.25">
      <c r="C17" s="243"/>
      <c r="D17" s="95"/>
      <c r="G17" s="191"/>
      <c r="H17" s="191"/>
      <c r="I17" s="192"/>
      <c r="J17" s="192"/>
      <c r="K17" s="192"/>
      <c r="L17" s="193"/>
      <c r="M17" s="81"/>
      <c r="N17" s="69"/>
      <c r="O17" s="69"/>
      <c r="P17" s="68"/>
      <c r="Q17" s="69"/>
      <c r="R17" s="69"/>
      <c r="S17" s="70"/>
    </row>
    <row r="18" spans="2:19" ht="21.75" customHeight="1" x14ac:dyDescent="0.25">
      <c r="C18" s="94"/>
      <c r="D18" s="94"/>
      <c r="I18" s="119"/>
      <c r="J18" s="119"/>
      <c r="K18" s="119"/>
      <c r="L18" s="5" t="s">
        <v>38</v>
      </c>
      <c r="M18" s="284">
        <f>SUM(M7:M17)</f>
        <v>139372.47</v>
      </c>
      <c r="N18" s="284">
        <f>SUM(N7:N17)</f>
        <v>12096.440000000002</v>
      </c>
      <c r="O18" s="284">
        <f>SUM(O7:O17)</f>
        <v>151468.91</v>
      </c>
      <c r="Q18" s="284">
        <f>SUM(Q7:Q17)</f>
        <v>42443.01</v>
      </c>
      <c r="R18" s="284">
        <f>SUM(R7:R17)</f>
        <v>0</v>
      </c>
      <c r="S18" s="23">
        <f>SUM(S7:S17)</f>
        <v>42443.01</v>
      </c>
    </row>
    <row r="19" spans="2:19" x14ac:dyDescent="0.25">
      <c r="C19" s="94"/>
      <c r="D19" s="94"/>
      <c r="L19" s="5"/>
      <c r="M19" s="68"/>
      <c r="N19" s="68"/>
      <c r="O19" s="68"/>
      <c r="Q19" s="68"/>
      <c r="R19" s="68"/>
      <c r="S19" s="70"/>
    </row>
    <row r="20" spans="2:19" x14ac:dyDescent="0.25">
      <c r="C20" s="94"/>
      <c r="D20" s="94"/>
      <c r="L20" s="5"/>
      <c r="M20" s="68"/>
      <c r="N20" s="68"/>
      <c r="O20" s="68"/>
      <c r="Q20" s="68"/>
      <c r="R20" s="68"/>
      <c r="S20" s="70"/>
    </row>
    <row r="21" spans="2:19" x14ac:dyDescent="0.25">
      <c r="B21" s="8" t="s">
        <v>125</v>
      </c>
      <c r="C21" s="94"/>
      <c r="D21" s="94"/>
      <c r="L21" s="5"/>
      <c r="M21" s="68"/>
      <c r="N21" s="68"/>
      <c r="O21" s="68"/>
      <c r="Q21" s="68"/>
      <c r="R21" s="68"/>
      <c r="S21" s="70"/>
    </row>
    <row r="22" spans="2:19" ht="33" customHeight="1" x14ac:dyDescent="0.25">
      <c r="B22" s="338" t="s">
        <v>126</v>
      </c>
      <c r="C22" s="338"/>
      <c r="D22" s="338"/>
      <c r="E22" s="338"/>
      <c r="F22" s="338"/>
      <c r="G22" s="120"/>
      <c r="H22" s="120"/>
      <c r="I22" s="114"/>
      <c r="L22" s="5"/>
      <c r="M22" s="68"/>
      <c r="N22" s="68"/>
      <c r="O22" s="68"/>
      <c r="Q22" s="68"/>
      <c r="R22" s="68"/>
      <c r="S22" s="70"/>
    </row>
    <row r="23" spans="2:19" x14ac:dyDescent="0.25">
      <c r="C23" s="94"/>
      <c r="D23" s="94"/>
      <c r="L23" s="5"/>
      <c r="M23" s="68"/>
      <c r="N23" s="68"/>
      <c r="O23" s="68"/>
      <c r="Q23" s="68"/>
      <c r="R23" s="68"/>
      <c r="S23" s="70"/>
    </row>
    <row r="24" spans="2:19" ht="44.25" customHeight="1" x14ac:dyDescent="0.25">
      <c r="B24" s="338" t="s">
        <v>129</v>
      </c>
      <c r="C24" s="338"/>
      <c r="D24" s="338"/>
      <c r="E24" s="338"/>
      <c r="F24" s="338"/>
      <c r="G24" s="120"/>
      <c r="H24" s="120"/>
      <c r="I24" s="114"/>
      <c r="L24" s="5"/>
      <c r="M24" s="68"/>
      <c r="N24" s="68"/>
      <c r="O24" s="68"/>
      <c r="Q24" s="68"/>
      <c r="R24" s="68"/>
      <c r="S24" s="70"/>
    </row>
    <row r="25" spans="2:19" x14ac:dyDescent="0.25">
      <c r="B25" s="111"/>
      <c r="C25" s="111"/>
      <c r="D25" s="111"/>
      <c r="E25" s="111"/>
      <c r="F25" s="111"/>
      <c r="G25" s="120"/>
      <c r="H25" s="120"/>
      <c r="I25" s="114"/>
      <c r="L25" s="5"/>
      <c r="M25" s="68"/>
      <c r="N25" s="68"/>
      <c r="O25" s="68"/>
      <c r="Q25" s="68"/>
      <c r="R25" s="68"/>
      <c r="S25" s="70"/>
    </row>
    <row r="26" spans="2:19" ht="30" customHeight="1" x14ac:dyDescent="0.25">
      <c r="B26" s="338" t="s">
        <v>160</v>
      </c>
      <c r="C26" s="338"/>
      <c r="D26" s="338"/>
      <c r="E26" s="338"/>
      <c r="F26" s="338"/>
      <c r="G26" s="198"/>
      <c r="H26" s="198"/>
      <c r="I26" s="198"/>
      <c r="L26" s="5"/>
      <c r="M26" s="68"/>
      <c r="N26" s="68"/>
      <c r="O26" s="68"/>
      <c r="Q26" s="68"/>
      <c r="R26" s="68"/>
      <c r="S26" s="70"/>
    </row>
    <row r="27" spans="2:19" ht="15" customHeight="1" x14ac:dyDescent="0.25">
      <c r="B27" s="346" t="s">
        <v>159</v>
      </c>
      <c r="C27" s="338"/>
      <c r="D27" s="338"/>
      <c r="E27" s="338"/>
      <c r="F27" s="338"/>
      <c r="G27" s="198"/>
      <c r="H27" s="198"/>
      <c r="I27" s="198"/>
      <c r="L27" s="5"/>
      <c r="M27" s="68"/>
      <c r="N27" s="68"/>
      <c r="O27" s="68"/>
      <c r="Q27" s="68"/>
      <c r="R27" s="68"/>
      <c r="S27" s="70"/>
    </row>
    <row r="28" spans="2:19" ht="15" customHeight="1" x14ac:dyDescent="0.25">
      <c r="B28" s="200"/>
      <c r="C28" s="200"/>
      <c r="D28" s="200"/>
      <c r="E28" s="200"/>
      <c r="F28" s="200"/>
      <c r="G28" s="200"/>
      <c r="H28" s="200"/>
      <c r="I28" s="200"/>
      <c r="L28" s="5"/>
      <c r="M28" s="68"/>
      <c r="N28" s="68"/>
      <c r="O28" s="68"/>
      <c r="Q28" s="68"/>
      <c r="R28" s="68"/>
      <c r="S28" s="70"/>
    </row>
    <row r="29" spans="2:19" x14ac:dyDescent="0.25">
      <c r="B29" s="7" t="s">
        <v>109</v>
      </c>
      <c r="C29" s="104" t="s">
        <v>112</v>
      </c>
      <c r="D29" s="104" t="s">
        <v>113</v>
      </c>
      <c r="E29" s="111"/>
      <c r="F29" s="111"/>
      <c r="G29" s="120"/>
      <c r="H29" s="120"/>
      <c r="I29" s="114"/>
      <c r="L29" s="5"/>
      <c r="M29" s="68"/>
      <c r="N29" s="68"/>
      <c r="O29" s="68"/>
      <c r="Q29" s="68"/>
      <c r="R29" s="68"/>
      <c r="S29" s="70"/>
    </row>
    <row r="30" spans="2:19" x14ac:dyDescent="0.25">
      <c r="B30" s="2" t="s">
        <v>110</v>
      </c>
      <c r="C30" s="94" t="s">
        <v>116</v>
      </c>
      <c r="D30" s="94" t="s">
        <v>118</v>
      </c>
      <c r="L30" s="5"/>
      <c r="M30" s="68"/>
      <c r="N30" s="68"/>
      <c r="O30" s="68"/>
      <c r="Q30" s="68"/>
      <c r="R30" s="68"/>
      <c r="S30" s="70"/>
    </row>
    <row r="31" spans="2:19" x14ac:dyDescent="0.25">
      <c r="B31" s="19" t="s">
        <v>111</v>
      </c>
      <c r="C31" s="94" t="s">
        <v>114</v>
      </c>
      <c r="D31" s="94" t="s">
        <v>119</v>
      </c>
      <c r="L31" s="5"/>
      <c r="M31" s="68"/>
      <c r="N31" s="68"/>
      <c r="O31" s="68"/>
      <c r="Q31" s="68"/>
      <c r="R31" s="68"/>
      <c r="S31" s="70"/>
    </row>
    <row r="32" spans="2:19" x14ac:dyDescent="0.25">
      <c r="B32" s="2" t="s">
        <v>252</v>
      </c>
      <c r="C32" s="94" t="s">
        <v>135</v>
      </c>
      <c r="D32" s="94" t="s">
        <v>147</v>
      </c>
      <c r="L32" s="5"/>
      <c r="M32" s="68"/>
      <c r="N32" s="68"/>
      <c r="O32" s="68"/>
      <c r="Q32" s="68"/>
      <c r="R32" s="68"/>
      <c r="S32" s="70"/>
    </row>
    <row r="33" spans="2:20" x14ac:dyDescent="0.25">
      <c r="B33" s="2" t="s">
        <v>256</v>
      </c>
      <c r="C33" s="94" t="s">
        <v>135</v>
      </c>
      <c r="D33" s="94" t="s">
        <v>147</v>
      </c>
      <c r="L33" s="5"/>
      <c r="M33" s="68"/>
      <c r="N33" s="68"/>
      <c r="O33" s="68"/>
      <c r="Q33" s="68"/>
      <c r="R33" s="68"/>
      <c r="S33" s="70"/>
    </row>
    <row r="34" spans="2:20" x14ac:dyDescent="0.25">
      <c r="B34" s="2" t="s">
        <v>260</v>
      </c>
      <c r="C34" s="94" t="s">
        <v>135</v>
      </c>
      <c r="D34" s="94" t="s">
        <v>147</v>
      </c>
      <c r="L34" s="5"/>
      <c r="M34" s="68"/>
      <c r="N34" s="68"/>
      <c r="O34" s="68"/>
      <c r="Q34" s="68"/>
      <c r="R34" s="68"/>
      <c r="S34" s="70"/>
    </row>
    <row r="35" spans="2:20" x14ac:dyDescent="0.25">
      <c r="B35" s="2" t="s">
        <v>261</v>
      </c>
      <c r="C35" s="94" t="s">
        <v>179</v>
      </c>
      <c r="D35" s="94" t="s">
        <v>262</v>
      </c>
      <c r="L35" s="5"/>
      <c r="M35" s="68"/>
      <c r="N35" s="68"/>
      <c r="O35" s="68"/>
      <c r="Q35" s="68"/>
      <c r="R35" s="68"/>
      <c r="S35" s="70"/>
    </row>
    <row r="36" spans="2:20" x14ac:dyDescent="0.25">
      <c r="B36" s="2" t="s">
        <v>318</v>
      </c>
      <c r="C36" s="94" t="s">
        <v>135</v>
      </c>
      <c r="D36" s="94" t="s">
        <v>147</v>
      </c>
      <c r="L36" s="5"/>
      <c r="M36" s="68"/>
      <c r="N36" s="68"/>
      <c r="O36" s="68"/>
      <c r="Q36" s="68"/>
      <c r="R36" s="68"/>
      <c r="S36" s="70"/>
    </row>
    <row r="37" spans="2:20" x14ac:dyDescent="0.25">
      <c r="B37" s="2" t="s">
        <v>321</v>
      </c>
      <c r="C37" s="94" t="s">
        <v>135</v>
      </c>
      <c r="D37" s="94" t="s">
        <v>147</v>
      </c>
      <c r="L37" s="5"/>
      <c r="M37" s="68"/>
      <c r="N37" s="68"/>
      <c r="O37" s="68"/>
      <c r="Q37" s="68"/>
      <c r="R37" s="68"/>
      <c r="S37" s="70"/>
    </row>
    <row r="38" spans="2:20" x14ac:dyDescent="0.25">
      <c r="B38" s="2" t="s">
        <v>326</v>
      </c>
      <c r="C38" s="94" t="s">
        <v>135</v>
      </c>
      <c r="D38" s="94" t="s">
        <v>147</v>
      </c>
      <c r="L38" s="5"/>
      <c r="M38" s="68"/>
      <c r="N38" s="68"/>
      <c r="O38" s="68"/>
      <c r="Q38" s="68"/>
      <c r="R38" s="68"/>
      <c r="S38" s="70"/>
    </row>
    <row r="39" spans="2:20" x14ac:dyDescent="0.25">
      <c r="C39" s="94"/>
      <c r="D39" s="94"/>
      <c r="L39" s="5"/>
      <c r="M39" s="68"/>
      <c r="N39" s="68"/>
      <c r="O39" s="68"/>
      <c r="Q39" s="68"/>
      <c r="R39" s="68"/>
      <c r="S39" s="70"/>
    </row>
    <row r="40" spans="2:20" x14ac:dyDescent="0.25">
      <c r="B40" s="347" t="s">
        <v>235</v>
      </c>
      <c r="C40" s="333"/>
      <c r="D40" s="333"/>
      <c r="E40" s="333"/>
      <c r="F40" s="333"/>
      <c r="G40" s="333"/>
      <c r="H40" s="333"/>
      <c r="L40" s="5"/>
      <c r="M40" s="68"/>
      <c r="N40" s="68"/>
      <c r="O40" s="68"/>
      <c r="Q40" s="68"/>
      <c r="R40" s="68"/>
      <c r="S40" s="70"/>
    </row>
    <row r="41" spans="2:20" x14ac:dyDescent="0.25">
      <c r="B41" s="249" t="s">
        <v>236</v>
      </c>
      <c r="C41" s="94"/>
      <c r="D41" s="94"/>
      <c r="L41" s="5"/>
      <c r="M41" s="68"/>
      <c r="N41" s="68"/>
      <c r="O41" s="68"/>
      <c r="Q41" s="68"/>
      <c r="R41" s="68"/>
      <c r="S41" s="70"/>
    </row>
    <row r="42" spans="2:20" x14ac:dyDescent="0.25">
      <c r="B42" s="10"/>
      <c r="C42" s="96"/>
      <c r="D42" s="96"/>
      <c r="E42" s="10"/>
      <c r="F42" s="10"/>
      <c r="G42" s="10"/>
      <c r="H42" s="10"/>
      <c r="I42" s="10"/>
      <c r="J42" s="10"/>
      <c r="K42" s="10"/>
      <c r="L42" s="10"/>
      <c r="M42" s="10"/>
      <c r="N42" s="29"/>
      <c r="O42" s="29"/>
      <c r="P42" s="29"/>
      <c r="Q42" s="29"/>
      <c r="R42" s="29"/>
      <c r="S42" s="27"/>
    </row>
    <row r="43" spans="2:20" ht="15" customHeight="1" x14ac:dyDescent="0.25">
      <c r="N43" s="112"/>
      <c r="O43" s="112"/>
      <c r="P43" s="112"/>
      <c r="Q43" s="171" t="s">
        <v>90</v>
      </c>
      <c r="R43" s="168"/>
      <c r="S43" s="169"/>
    </row>
    <row r="44" spans="2:20" ht="15" customHeight="1" x14ac:dyDescent="0.25">
      <c r="B44" s="17" t="s">
        <v>39</v>
      </c>
      <c r="C44" s="98" t="s">
        <v>2</v>
      </c>
      <c r="D44" s="98"/>
      <c r="E44" s="98" t="s">
        <v>34</v>
      </c>
      <c r="F44" s="98" t="s">
        <v>35</v>
      </c>
      <c r="G44" s="123"/>
      <c r="H44" s="123"/>
      <c r="I44" s="117"/>
      <c r="J44" s="98"/>
      <c r="K44" s="98"/>
      <c r="L44" s="98" t="s">
        <v>36</v>
      </c>
      <c r="M44" s="98" t="s">
        <v>37</v>
      </c>
      <c r="N44" s="47"/>
      <c r="O44" s="47"/>
      <c r="P44" s="47"/>
      <c r="Q44" s="54" t="s">
        <v>88</v>
      </c>
      <c r="R44" s="54"/>
      <c r="S44" s="55"/>
      <c r="T44" s="51"/>
    </row>
    <row r="45" spans="2:20" ht="15" customHeight="1" x14ac:dyDescent="0.25">
      <c r="B45" s="65"/>
      <c r="C45" s="9"/>
      <c r="D45" s="9"/>
      <c r="E45" s="9"/>
      <c r="F45" s="9"/>
      <c r="G45" s="9"/>
      <c r="H45" s="9"/>
      <c r="I45" s="9"/>
      <c r="J45" s="9"/>
      <c r="K45" s="9"/>
      <c r="L45" s="9"/>
      <c r="M45" s="9"/>
      <c r="N45" s="45"/>
      <c r="O45" s="45"/>
      <c r="P45" s="45"/>
      <c r="Q45" s="59"/>
      <c r="R45" s="50"/>
      <c r="S45" s="50"/>
      <c r="T45" s="51"/>
    </row>
    <row r="46" spans="2:20" x14ac:dyDescent="0.25">
      <c r="B46" s="65"/>
      <c r="C46" s="9"/>
      <c r="D46" s="9"/>
      <c r="E46" s="9"/>
      <c r="F46" s="9"/>
      <c r="G46" s="9"/>
      <c r="H46" s="9"/>
      <c r="I46" s="9"/>
      <c r="J46" s="9"/>
      <c r="K46" s="9"/>
      <c r="L46" s="9"/>
      <c r="M46" s="9"/>
      <c r="N46" s="45"/>
      <c r="O46" s="45"/>
      <c r="P46" s="45"/>
      <c r="T46" s="51"/>
    </row>
    <row r="47" spans="2:20" x14ac:dyDescent="0.25">
      <c r="B47" s="11"/>
      <c r="C47" s="9"/>
      <c r="D47" s="9"/>
      <c r="E47" s="9"/>
      <c r="Q47" s="51"/>
      <c r="R47" s="51"/>
      <c r="S47" s="51"/>
      <c r="T47" s="51"/>
    </row>
    <row r="48" spans="2:20" x14ac:dyDescent="0.25">
      <c r="B48" s="11"/>
      <c r="C48" s="9"/>
      <c r="D48" s="9"/>
      <c r="E48" s="9"/>
      <c r="Q48" s="51"/>
      <c r="R48" s="51"/>
      <c r="S48" s="51"/>
      <c r="T48" s="51"/>
    </row>
    <row r="49" spans="2:20" x14ac:dyDescent="0.25">
      <c r="B49" s="11"/>
      <c r="C49" s="9"/>
      <c r="D49" s="9"/>
      <c r="E49" s="9"/>
      <c r="Q49" s="51"/>
      <c r="R49" s="51"/>
      <c r="S49" s="51"/>
      <c r="T49" s="51"/>
    </row>
    <row r="50" spans="2:20" x14ac:dyDescent="0.25">
      <c r="B50" s="11"/>
      <c r="C50" s="9"/>
      <c r="D50" s="9"/>
      <c r="E50" s="9"/>
      <c r="Q50" s="325" t="s">
        <v>343</v>
      </c>
      <c r="R50" s="325"/>
      <c r="S50" s="327">
        <f>S18</f>
        <v>42443.01</v>
      </c>
      <c r="T50" s="51"/>
    </row>
    <row r="51" spans="2:20" x14ac:dyDescent="0.25">
      <c r="B51" s="12"/>
      <c r="C51" s="13"/>
      <c r="D51" s="13"/>
      <c r="E51" s="41"/>
      <c r="F51" s="15"/>
      <c r="G51" s="15"/>
      <c r="H51" s="15"/>
      <c r="I51" s="15"/>
      <c r="J51" s="15"/>
      <c r="K51" s="15"/>
      <c r="L51" s="16"/>
      <c r="M51" s="31"/>
      <c r="N51" s="18"/>
      <c r="O51" s="18"/>
      <c r="P51" s="18"/>
    </row>
    <row r="52" spans="2:20" x14ac:dyDescent="0.25">
      <c r="C52" s="13"/>
      <c r="D52" s="13"/>
      <c r="E52" s="41"/>
      <c r="F52" s="71"/>
      <c r="G52" s="71"/>
      <c r="H52" s="71"/>
      <c r="I52" s="71"/>
      <c r="J52" s="71"/>
      <c r="K52" s="71"/>
      <c r="L52" s="16"/>
      <c r="M52" s="31"/>
    </row>
  </sheetData>
  <mergeCells count="8">
    <mergeCell ref="B40:H40"/>
    <mergeCell ref="B27:F27"/>
    <mergeCell ref="Q2:S2"/>
    <mergeCell ref="Q1:S1"/>
    <mergeCell ref="B22:F22"/>
    <mergeCell ref="B24:F24"/>
    <mergeCell ref="B26:F26"/>
    <mergeCell ref="B12:B13"/>
  </mergeCells>
  <hyperlinks>
    <hyperlink ref="B27" r:id="rId1"/>
  </hyperlinks>
  <printOptions horizontalCentered="1" gridLines="1"/>
  <pageMargins left="0" right="0" top="0.75" bottom="0.75" header="0.3" footer="0.3"/>
  <pageSetup scale="52" orientation="landscape" horizontalDpi="1200" verticalDpi="1200"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0"/>
  <sheetViews>
    <sheetView topLeftCell="E23" zoomScale="120" zoomScaleNormal="120" workbookViewId="0">
      <selection activeCell="S50" sqref="S50"/>
    </sheetView>
  </sheetViews>
  <sheetFormatPr defaultColWidth="9.140625" defaultRowHeight="15" x14ac:dyDescent="0.25"/>
  <cols>
    <col min="1" max="1" width="9.140625" style="2" hidden="1" customWidth="1"/>
    <col min="2" max="2" width="60.140625" style="2" customWidth="1"/>
    <col min="3" max="3" width="26.85546875" style="2" customWidth="1"/>
    <col min="4" max="4" width="13.7109375" style="2" customWidth="1"/>
    <col min="5" max="5" width="18" style="2" customWidth="1"/>
    <col min="6" max="6" width="21.5703125" style="2" customWidth="1"/>
    <col min="7" max="7" width="10.28515625" style="2" customWidth="1"/>
    <col min="8" max="8" width="12.85546875" style="2" customWidth="1"/>
    <col min="9" max="9" width="13.42578125" style="2" customWidth="1"/>
    <col min="10" max="10" width="15.7109375" style="2" customWidth="1"/>
    <col min="11" max="11" width="8.85546875" style="2" customWidth="1"/>
    <col min="12" max="12" width="19" style="2" customWidth="1"/>
    <col min="13" max="13" width="15.140625" style="2" bestFit="1" customWidth="1"/>
    <col min="14" max="14" width="13.7109375" style="2" customWidth="1"/>
    <col min="15" max="15" width="14.42578125" style="2" customWidth="1"/>
    <col min="16" max="16" width="3.140625" style="2" customWidth="1"/>
    <col min="17" max="18" width="14.140625" style="2" customWidth="1"/>
    <col min="19" max="19" width="16.7109375" style="2" customWidth="1"/>
    <col min="20" max="16384" width="9.140625" style="2"/>
  </cols>
  <sheetData>
    <row r="1" spans="1:20" ht="18" customHeight="1" x14ac:dyDescent="0.25">
      <c r="A1" s="2" t="s">
        <v>342</v>
      </c>
      <c r="B1" s="8" t="s">
        <v>9</v>
      </c>
      <c r="Q1" s="335" t="s">
        <v>230</v>
      </c>
      <c r="R1" s="335"/>
      <c r="S1" s="335"/>
    </row>
    <row r="2" spans="1:20" ht="18" customHeight="1" x14ac:dyDescent="0.25">
      <c r="B2" s="90" t="s">
        <v>148</v>
      </c>
      <c r="C2" s="187">
        <v>44377</v>
      </c>
      <c r="M2" s="73"/>
      <c r="N2" s="73"/>
      <c r="P2" s="29"/>
      <c r="Q2" s="334" t="s">
        <v>338</v>
      </c>
      <c r="R2" s="334"/>
      <c r="S2" s="334"/>
    </row>
    <row r="3" spans="1:20" ht="18" customHeight="1" thickBot="1" x14ac:dyDescent="0.3">
      <c r="A3" s="2" t="s">
        <v>16</v>
      </c>
      <c r="B3" s="44" t="s">
        <v>49</v>
      </c>
      <c r="C3" s="8"/>
      <c r="D3" s="8"/>
      <c r="E3" s="8"/>
      <c r="P3" s="29"/>
      <c r="Q3" s="45"/>
      <c r="R3" s="30"/>
    </row>
    <row r="4" spans="1:20" ht="18.75" customHeight="1" x14ac:dyDescent="0.25">
      <c r="B4" s="8" t="s">
        <v>174</v>
      </c>
      <c r="M4" s="87" t="s">
        <v>28</v>
      </c>
      <c r="N4" s="87" t="s">
        <v>28</v>
      </c>
      <c r="O4" s="87" t="s">
        <v>28</v>
      </c>
      <c r="P4" s="9"/>
      <c r="Q4" s="91" t="s">
        <v>29</v>
      </c>
      <c r="R4" s="91" t="s">
        <v>31</v>
      </c>
      <c r="S4" s="91" t="s">
        <v>23</v>
      </c>
      <c r="T4" s="7"/>
    </row>
    <row r="5" spans="1:20" ht="15.75" thickBot="1" x14ac:dyDescent="0.3">
      <c r="G5" s="188" t="s">
        <v>231</v>
      </c>
      <c r="H5" s="188" t="s">
        <v>231</v>
      </c>
      <c r="M5" s="88" t="s">
        <v>27</v>
      </c>
      <c r="N5" s="88" t="s">
        <v>26</v>
      </c>
      <c r="O5" s="88" t="s">
        <v>25</v>
      </c>
      <c r="P5" s="9"/>
      <c r="Q5" s="92" t="s">
        <v>30</v>
      </c>
      <c r="R5" s="92" t="s">
        <v>30</v>
      </c>
      <c r="S5" s="92" t="s">
        <v>30</v>
      </c>
      <c r="T5" s="7"/>
    </row>
    <row r="6" spans="1:20" ht="85.5" customHeight="1" thickBot="1" x14ac:dyDescent="0.3">
      <c r="B6" s="86" t="s">
        <v>1</v>
      </c>
      <c r="C6" s="86" t="s">
        <v>127</v>
      </c>
      <c r="D6" s="86" t="s">
        <v>107</v>
      </c>
      <c r="E6" s="86" t="s">
        <v>3</v>
      </c>
      <c r="F6" s="86" t="s">
        <v>4</v>
      </c>
      <c r="G6" s="110" t="s">
        <v>136</v>
      </c>
      <c r="H6" s="110" t="s">
        <v>137</v>
      </c>
      <c r="I6" s="110" t="s">
        <v>133</v>
      </c>
      <c r="J6" s="110" t="s">
        <v>134</v>
      </c>
      <c r="K6" s="110" t="s">
        <v>121</v>
      </c>
      <c r="L6" s="85" t="s">
        <v>5</v>
      </c>
      <c r="M6" s="89" t="s">
        <v>6</v>
      </c>
      <c r="N6" s="89" t="s">
        <v>6</v>
      </c>
      <c r="O6" s="89" t="s">
        <v>6</v>
      </c>
      <c r="P6" s="9"/>
      <c r="Q6" s="93"/>
      <c r="R6" s="99" t="s">
        <v>32</v>
      </c>
      <c r="S6" s="100" t="s">
        <v>33</v>
      </c>
    </row>
    <row r="7" spans="1:20" ht="27.75" customHeight="1" x14ac:dyDescent="0.25">
      <c r="A7" s="2">
        <v>4201</v>
      </c>
      <c r="B7" s="2" t="s">
        <v>8</v>
      </c>
      <c r="C7" s="94" t="s">
        <v>106</v>
      </c>
      <c r="D7" s="94" t="s">
        <v>246</v>
      </c>
      <c r="E7" s="2" t="s">
        <v>232</v>
      </c>
      <c r="F7" s="2" t="s">
        <v>7</v>
      </c>
      <c r="G7" s="191">
        <v>2.9600000000000001E-2</v>
      </c>
      <c r="H7" s="191">
        <v>0.1744</v>
      </c>
      <c r="I7" s="192">
        <v>44377</v>
      </c>
      <c r="J7" s="192">
        <v>44378</v>
      </c>
      <c r="K7" s="192">
        <v>44013</v>
      </c>
      <c r="L7" s="193" t="s">
        <v>234</v>
      </c>
      <c r="M7" s="22">
        <v>16319.22</v>
      </c>
      <c r="N7" s="68">
        <f>16337.72-M7</f>
        <v>18.5</v>
      </c>
      <c r="O7" s="68">
        <f>M7+N7</f>
        <v>16337.72</v>
      </c>
      <c r="P7" s="69"/>
      <c r="Q7" s="68">
        <f>14552.72+1766.5</f>
        <v>16319.22</v>
      </c>
      <c r="R7" s="68"/>
      <c r="S7" s="23">
        <f>Q7+R7</f>
        <v>16319.22</v>
      </c>
    </row>
    <row r="8" spans="1:20" ht="29.25" customHeight="1" x14ac:dyDescent="0.25">
      <c r="B8" s="2" t="s">
        <v>128</v>
      </c>
      <c r="C8" s="231" t="s">
        <v>122</v>
      </c>
      <c r="D8" s="95" t="s">
        <v>248</v>
      </c>
      <c r="E8" s="2" t="s">
        <v>233</v>
      </c>
      <c r="F8" s="2" t="s">
        <v>7</v>
      </c>
      <c r="G8" s="191">
        <f>+G7</f>
        <v>2.9600000000000001E-2</v>
      </c>
      <c r="H8" s="191">
        <f t="shared" ref="H8" si="0">+H7</f>
        <v>0.1744</v>
      </c>
      <c r="I8" s="192">
        <f>+I7</f>
        <v>44377</v>
      </c>
      <c r="J8" s="192">
        <f>+J7</f>
        <v>44378</v>
      </c>
      <c r="K8" s="192">
        <f>+K7</f>
        <v>44013</v>
      </c>
      <c r="L8" s="209" t="str">
        <f>+L7</f>
        <v>07/01/20 - 06/30/21</v>
      </c>
      <c r="M8" s="80">
        <v>135780.13</v>
      </c>
      <c r="N8" s="69"/>
      <c r="O8" s="68">
        <f>M8+N8</f>
        <v>135780.13</v>
      </c>
      <c r="P8" s="69"/>
      <c r="Q8" s="69">
        <v>135780.13</v>
      </c>
      <c r="R8" s="69"/>
      <c r="S8" s="70">
        <f>Q8+R8</f>
        <v>135780.13</v>
      </c>
    </row>
    <row r="9" spans="1:20" ht="29.25" customHeight="1" x14ac:dyDescent="0.25">
      <c r="B9" s="2" t="s">
        <v>241</v>
      </c>
      <c r="C9" s="243" t="s">
        <v>242</v>
      </c>
      <c r="D9" s="95" t="s">
        <v>243</v>
      </c>
      <c r="E9" s="2" t="s">
        <v>244</v>
      </c>
      <c r="F9" s="2" t="s">
        <v>7</v>
      </c>
      <c r="G9" s="191">
        <v>2.9600000000000001E-2</v>
      </c>
      <c r="H9" s="191">
        <v>0.1744</v>
      </c>
      <c r="I9" s="192">
        <v>44834</v>
      </c>
      <c r="J9" s="192">
        <v>44849</v>
      </c>
      <c r="K9" s="192">
        <v>43614</v>
      </c>
      <c r="L9" s="193" t="s">
        <v>311</v>
      </c>
      <c r="M9" s="80">
        <v>23693.23</v>
      </c>
      <c r="N9" s="69"/>
      <c r="O9" s="68">
        <f>M9+N9</f>
        <v>23693.23</v>
      </c>
      <c r="P9" s="69"/>
      <c r="Q9" s="69">
        <v>23693.23</v>
      </c>
      <c r="R9" s="69"/>
      <c r="S9" s="70">
        <f>Q9+R9</f>
        <v>23693.23</v>
      </c>
    </row>
    <row r="10" spans="1:20" ht="29.25" customHeight="1" x14ac:dyDescent="0.25">
      <c r="B10" s="2" t="s">
        <v>283</v>
      </c>
      <c r="C10" s="243" t="s">
        <v>264</v>
      </c>
      <c r="D10" s="95" t="s">
        <v>254</v>
      </c>
      <c r="E10" s="2" t="s">
        <v>284</v>
      </c>
      <c r="F10" s="2" t="s">
        <v>7</v>
      </c>
      <c r="G10" s="191">
        <f t="shared" ref="G10:H10" si="1">+G9</f>
        <v>2.9600000000000001E-2</v>
      </c>
      <c r="H10" s="191">
        <f t="shared" si="1"/>
        <v>0.1744</v>
      </c>
      <c r="I10" s="192">
        <v>44377</v>
      </c>
      <c r="J10" s="192">
        <v>44392</v>
      </c>
      <c r="K10" s="192">
        <v>43613</v>
      </c>
      <c r="L10" s="193" t="s">
        <v>234</v>
      </c>
      <c r="M10" s="81">
        <v>7302.48</v>
      </c>
      <c r="N10" s="69"/>
      <c r="O10" s="69">
        <f>M10+N10</f>
        <v>7302.48</v>
      </c>
      <c r="P10" s="69"/>
      <c r="Q10" s="69">
        <v>7302.48</v>
      </c>
      <c r="R10" s="69"/>
      <c r="S10" s="70">
        <f>Q10+R10</f>
        <v>7302.48</v>
      </c>
    </row>
    <row r="11" spans="1:20" ht="29.25" customHeight="1" x14ac:dyDescent="0.25">
      <c r="B11" s="2" t="s">
        <v>268</v>
      </c>
      <c r="C11" s="243" t="s">
        <v>269</v>
      </c>
      <c r="D11" s="95" t="s">
        <v>164</v>
      </c>
      <c r="E11" s="2" t="s">
        <v>275</v>
      </c>
      <c r="F11" s="2" t="s">
        <v>7</v>
      </c>
      <c r="G11" s="191">
        <f>+G9</f>
        <v>2.9600000000000001E-2</v>
      </c>
      <c r="H11" s="191">
        <f>+H9</f>
        <v>0.1744</v>
      </c>
      <c r="I11" s="192">
        <v>44393</v>
      </c>
      <c r="J11" s="192">
        <v>44408</v>
      </c>
      <c r="K11" s="192">
        <v>42644</v>
      </c>
      <c r="L11" s="193" t="s">
        <v>310</v>
      </c>
      <c r="M11" s="81">
        <v>58600</v>
      </c>
      <c r="N11" s="69"/>
      <c r="O11" s="69">
        <f>M11+N11</f>
        <v>58600</v>
      </c>
      <c r="P11" s="69"/>
      <c r="Q11" s="69">
        <f>17409.7+35999</f>
        <v>53408.7</v>
      </c>
      <c r="R11" s="69"/>
      <c r="S11" s="70">
        <f>Q11+R11</f>
        <v>53408.7</v>
      </c>
    </row>
    <row r="12" spans="1:20" ht="29.25" customHeight="1" x14ac:dyDescent="0.25">
      <c r="B12" s="2" t="s">
        <v>318</v>
      </c>
      <c r="C12" s="243" t="s">
        <v>242</v>
      </c>
      <c r="D12" s="95" t="s">
        <v>243</v>
      </c>
      <c r="E12" s="2" t="s">
        <v>319</v>
      </c>
      <c r="F12" s="2" t="s">
        <v>7</v>
      </c>
      <c r="G12" s="191">
        <v>2.9600000000000001E-2</v>
      </c>
      <c r="H12" s="191">
        <v>0.1744</v>
      </c>
      <c r="I12" s="192">
        <v>44561</v>
      </c>
      <c r="J12" s="192">
        <v>44576</v>
      </c>
      <c r="K12" s="192">
        <v>43980</v>
      </c>
      <c r="L12" s="193" t="s">
        <v>320</v>
      </c>
      <c r="M12" s="81">
        <v>3000</v>
      </c>
      <c r="N12" s="69"/>
      <c r="O12" s="69">
        <f t="shared" ref="O12:O14" si="2">M12+N12</f>
        <v>3000</v>
      </c>
      <c r="P12" s="68"/>
      <c r="Q12" s="69"/>
      <c r="R12" s="69"/>
      <c r="S12" s="70">
        <f t="shared" ref="S12:S14" si="3">Q12+R12</f>
        <v>0</v>
      </c>
    </row>
    <row r="13" spans="1:20" ht="29.25" customHeight="1" x14ac:dyDescent="0.25">
      <c r="B13" s="2" t="s">
        <v>321</v>
      </c>
      <c r="C13" s="243" t="s">
        <v>264</v>
      </c>
      <c r="D13" s="95" t="s">
        <v>254</v>
      </c>
      <c r="E13" s="2" t="s">
        <v>322</v>
      </c>
      <c r="F13" s="2" t="s">
        <v>7</v>
      </c>
      <c r="G13" s="191">
        <v>2.9600000000000001E-2</v>
      </c>
      <c r="H13" s="191">
        <v>0.1744</v>
      </c>
      <c r="I13" s="192">
        <v>44742</v>
      </c>
      <c r="J13" s="192">
        <v>44757</v>
      </c>
      <c r="K13" s="192">
        <v>43979</v>
      </c>
      <c r="L13" s="193" t="s">
        <v>323</v>
      </c>
      <c r="M13" s="81">
        <v>1027</v>
      </c>
      <c r="N13" s="69"/>
      <c r="O13" s="69">
        <f t="shared" si="2"/>
        <v>1027</v>
      </c>
      <c r="P13" s="68"/>
      <c r="Q13" s="69"/>
      <c r="R13" s="69"/>
      <c r="S13" s="70">
        <f t="shared" si="3"/>
        <v>0</v>
      </c>
    </row>
    <row r="14" spans="1:20" ht="29.25" customHeight="1" x14ac:dyDescent="0.25">
      <c r="B14" s="2" t="s">
        <v>327</v>
      </c>
      <c r="C14" s="243" t="s">
        <v>242</v>
      </c>
      <c r="D14" s="95" t="s">
        <v>328</v>
      </c>
      <c r="E14" s="2" t="s">
        <v>329</v>
      </c>
      <c r="F14" s="2" t="s">
        <v>7</v>
      </c>
      <c r="G14" s="191">
        <v>2.9600000000000001E-2</v>
      </c>
      <c r="H14" s="191">
        <v>0.1744</v>
      </c>
      <c r="I14" s="192">
        <v>44440</v>
      </c>
      <c r="J14" s="192">
        <v>44440</v>
      </c>
      <c r="K14" s="192">
        <v>44201</v>
      </c>
      <c r="L14" s="193" t="s">
        <v>330</v>
      </c>
      <c r="M14" s="81">
        <v>46354.52</v>
      </c>
      <c r="N14" s="69"/>
      <c r="O14" s="69">
        <f t="shared" si="2"/>
        <v>46354.52</v>
      </c>
      <c r="P14" s="68"/>
      <c r="Q14" s="69"/>
      <c r="R14" s="69"/>
      <c r="S14" s="70">
        <f t="shared" si="3"/>
        <v>0</v>
      </c>
    </row>
    <row r="15" spans="1:20" ht="15" customHeight="1" x14ac:dyDescent="0.25">
      <c r="C15" s="95"/>
      <c r="D15" s="95"/>
      <c r="G15" s="207"/>
      <c r="H15" s="191"/>
      <c r="I15" s="192"/>
      <c r="J15" s="192"/>
      <c r="K15" s="192"/>
      <c r="L15" s="193"/>
      <c r="M15" s="24"/>
      <c r="N15" s="25"/>
      <c r="O15" s="25"/>
      <c r="P15" s="69"/>
      <c r="Q15" s="25"/>
      <c r="R15" s="25"/>
      <c r="S15" s="26"/>
    </row>
    <row r="16" spans="1:20" ht="21.75" customHeight="1" x14ac:dyDescent="0.25">
      <c r="B16" s="3"/>
      <c r="C16" s="95"/>
      <c r="D16" s="95"/>
      <c r="I16" s="119"/>
      <c r="J16" s="119"/>
      <c r="K16" s="119"/>
      <c r="L16" s="21" t="s">
        <v>38</v>
      </c>
      <c r="M16" s="68">
        <f>SUM(M7:M15)</f>
        <v>292076.58</v>
      </c>
      <c r="N16" s="68">
        <f>SUM(N7:N15)</f>
        <v>18.5</v>
      </c>
      <c r="O16" s="68">
        <f>SUM(O7:O15)</f>
        <v>292095.08</v>
      </c>
      <c r="P16" s="68"/>
      <c r="Q16" s="68">
        <f>SUM(Q7:Q15)</f>
        <v>236503.76</v>
      </c>
      <c r="R16" s="68">
        <f>SUM(R7:R15)</f>
        <v>0</v>
      </c>
      <c r="S16" s="70">
        <f>SUM(S7:S15)</f>
        <v>236503.76</v>
      </c>
    </row>
    <row r="17" spans="2:19" x14ac:dyDescent="0.25">
      <c r="B17" s="3"/>
      <c r="C17" s="95"/>
      <c r="D17" s="95"/>
      <c r="L17" s="21"/>
      <c r="M17" s="68"/>
      <c r="N17" s="68"/>
      <c r="O17" s="68"/>
      <c r="P17" s="68"/>
      <c r="Q17" s="68"/>
      <c r="R17" s="68"/>
      <c r="S17" s="70"/>
    </row>
    <row r="18" spans="2:19" x14ac:dyDescent="0.25">
      <c r="B18" s="3"/>
      <c r="C18" s="95"/>
      <c r="D18" s="95"/>
      <c r="L18" s="21"/>
      <c r="M18" s="68"/>
      <c r="N18" s="68"/>
      <c r="O18" s="68"/>
      <c r="P18" s="68"/>
      <c r="Q18" s="68"/>
      <c r="R18" s="68"/>
      <c r="S18" s="70"/>
    </row>
    <row r="19" spans="2:19" x14ac:dyDescent="0.25">
      <c r="B19" s="8" t="s">
        <v>125</v>
      </c>
      <c r="C19" s="94"/>
      <c r="D19" s="94"/>
      <c r="L19" s="21"/>
      <c r="M19" s="68"/>
      <c r="N19" s="68"/>
      <c r="O19" s="68"/>
      <c r="P19" s="68"/>
      <c r="Q19" s="68"/>
      <c r="R19" s="68"/>
      <c r="S19" s="70"/>
    </row>
    <row r="20" spans="2:19" ht="30.75" customHeight="1" x14ac:dyDescent="0.25">
      <c r="B20" s="338" t="s">
        <v>126</v>
      </c>
      <c r="C20" s="338"/>
      <c r="D20" s="338"/>
      <c r="E20" s="338"/>
      <c r="F20" s="338"/>
      <c r="G20" s="120"/>
      <c r="H20" s="120"/>
      <c r="I20" s="114"/>
      <c r="L20" s="21"/>
      <c r="M20" s="68"/>
      <c r="N20" s="68"/>
      <c r="O20" s="68"/>
      <c r="P20" s="68"/>
      <c r="Q20" s="68"/>
      <c r="R20" s="68"/>
      <c r="S20" s="70"/>
    </row>
    <row r="21" spans="2:19" x14ac:dyDescent="0.25">
      <c r="C21" s="94"/>
      <c r="D21" s="94"/>
      <c r="L21" s="21"/>
      <c r="M21" s="68"/>
      <c r="N21" s="68"/>
      <c r="O21" s="68"/>
      <c r="P21" s="68"/>
      <c r="Q21" s="68"/>
      <c r="R21" s="68"/>
      <c r="S21" s="70"/>
    </row>
    <row r="22" spans="2:19" ht="44.25" customHeight="1" x14ac:dyDescent="0.25">
      <c r="B22" s="338" t="s">
        <v>129</v>
      </c>
      <c r="C22" s="338"/>
      <c r="D22" s="338"/>
      <c r="E22" s="338"/>
      <c r="F22" s="338"/>
      <c r="G22" s="120"/>
      <c r="H22" s="120"/>
      <c r="I22" s="114"/>
      <c r="L22" s="21"/>
      <c r="M22" s="68"/>
      <c r="N22" s="68"/>
      <c r="O22" s="68"/>
      <c r="P22" s="68"/>
      <c r="Q22" s="68"/>
      <c r="R22" s="68"/>
      <c r="S22" s="70"/>
    </row>
    <row r="23" spans="2:19" x14ac:dyDescent="0.25">
      <c r="B23" s="111"/>
      <c r="C23" s="111"/>
      <c r="D23" s="111"/>
      <c r="E23" s="111"/>
      <c r="F23" s="111"/>
      <c r="G23" s="120"/>
      <c r="H23" s="120"/>
      <c r="I23" s="114"/>
      <c r="L23" s="21"/>
      <c r="M23" s="68"/>
      <c r="N23" s="68"/>
      <c r="O23" s="68"/>
      <c r="P23" s="68"/>
      <c r="Q23" s="68"/>
      <c r="R23" s="68"/>
      <c r="S23" s="70"/>
    </row>
    <row r="24" spans="2:19" ht="32.25" customHeight="1" x14ac:dyDescent="0.25">
      <c r="B24" s="338" t="s">
        <v>160</v>
      </c>
      <c r="C24" s="338"/>
      <c r="D24" s="338"/>
      <c r="E24" s="338"/>
      <c r="F24" s="338"/>
      <c r="G24" s="198"/>
      <c r="H24" s="198"/>
      <c r="I24" s="198"/>
      <c r="L24" s="21"/>
      <c r="M24" s="68"/>
      <c r="N24" s="68"/>
      <c r="O24" s="68"/>
      <c r="P24" s="68"/>
      <c r="Q24" s="68"/>
      <c r="R24" s="68"/>
      <c r="S24" s="70"/>
    </row>
    <row r="25" spans="2:19" ht="15" customHeight="1" x14ac:dyDescent="0.25">
      <c r="B25" s="346" t="s">
        <v>159</v>
      </c>
      <c r="C25" s="338"/>
      <c r="D25" s="338"/>
      <c r="E25" s="338"/>
      <c r="F25" s="338"/>
      <c r="G25" s="198"/>
      <c r="H25" s="198"/>
      <c r="I25" s="198"/>
      <c r="L25" s="21"/>
      <c r="M25" s="68"/>
      <c r="N25" s="68"/>
      <c r="O25" s="68"/>
      <c r="P25" s="68"/>
      <c r="Q25" s="68"/>
      <c r="R25" s="68"/>
      <c r="S25" s="70"/>
    </row>
    <row r="26" spans="2:19" ht="15" customHeight="1" x14ac:dyDescent="0.25">
      <c r="B26" s="200"/>
      <c r="C26" s="200"/>
      <c r="D26" s="200"/>
      <c r="E26" s="200"/>
      <c r="F26" s="200"/>
      <c r="G26" s="200"/>
      <c r="H26" s="200"/>
      <c r="I26" s="200"/>
      <c r="L26" s="21"/>
      <c r="M26" s="68"/>
      <c r="N26" s="68"/>
      <c r="O26" s="68"/>
      <c r="P26" s="68"/>
      <c r="Q26" s="68"/>
      <c r="R26" s="68"/>
      <c r="S26" s="70"/>
    </row>
    <row r="27" spans="2:19" x14ac:dyDescent="0.25">
      <c r="B27" s="7" t="s">
        <v>109</v>
      </c>
      <c r="C27" s="104" t="s">
        <v>112</v>
      </c>
      <c r="D27" s="104" t="s">
        <v>113</v>
      </c>
      <c r="E27" s="111"/>
      <c r="F27" s="111"/>
      <c r="G27" s="120"/>
      <c r="H27" s="120"/>
      <c r="I27" s="114"/>
      <c r="L27" s="21"/>
      <c r="M27" s="68"/>
      <c r="N27" s="68"/>
      <c r="O27" s="68"/>
      <c r="P27" s="68"/>
      <c r="Q27" s="68"/>
      <c r="R27" s="68"/>
      <c r="S27" s="70"/>
    </row>
    <row r="28" spans="2:19" x14ac:dyDescent="0.25">
      <c r="B28" s="2" t="s">
        <v>110</v>
      </c>
      <c r="C28" s="94" t="s">
        <v>116</v>
      </c>
      <c r="D28" s="94" t="s">
        <v>118</v>
      </c>
      <c r="L28" s="21"/>
      <c r="M28" s="68"/>
      <c r="N28" s="68"/>
      <c r="O28" s="68"/>
      <c r="P28" s="68"/>
      <c r="Q28" s="68"/>
      <c r="R28" s="68"/>
      <c r="S28" s="70"/>
    </row>
    <row r="29" spans="2:19" x14ac:dyDescent="0.25">
      <c r="B29" s="19" t="s">
        <v>111</v>
      </c>
      <c r="C29" s="94" t="s">
        <v>114</v>
      </c>
      <c r="D29" s="94" t="s">
        <v>119</v>
      </c>
      <c r="L29" s="21"/>
      <c r="M29" s="68"/>
      <c r="N29" s="68"/>
      <c r="O29" s="68"/>
      <c r="P29" s="68"/>
      <c r="Q29" s="68"/>
      <c r="R29" s="68"/>
      <c r="S29" s="70"/>
    </row>
    <row r="30" spans="2:19" x14ac:dyDescent="0.25">
      <c r="B30" s="2" t="s">
        <v>252</v>
      </c>
      <c r="C30" s="94" t="s">
        <v>135</v>
      </c>
      <c r="D30" s="94" t="s">
        <v>147</v>
      </c>
      <c r="S30" s="27"/>
    </row>
    <row r="31" spans="2:19" x14ac:dyDescent="0.25">
      <c r="B31" s="2" t="s">
        <v>260</v>
      </c>
      <c r="C31" s="94" t="s">
        <v>135</v>
      </c>
      <c r="D31" s="94" t="s">
        <v>147</v>
      </c>
      <c r="S31" s="27"/>
    </row>
    <row r="32" spans="2:19" x14ac:dyDescent="0.25">
      <c r="B32" s="2" t="s">
        <v>267</v>
      </c>
      <c r="C32" s="94" t="s">
        <v>135</v>
      </c>
      <c r="D32" s="94" t="s">
        <v>147</v>
      </c>
      <c r="S32" s="27"/>
    </row>
    <row r="33" spans="2:20" x14ac:dyDescent="0.25">
      <c r="B33" s="2" t="s">
        <v>318</v>
      </c>
      <c r="C33" s="94" t="s">
        <v>135</v>
      </c>
      <c r="D33" s="94" t="s">
        <v>147</v>
      </c>
      <c r="S33" s="27"/>
    </row>
    <row r="34" spans="2:20" x14ac:dyDescent="0.25">
      <c r="B34" s="2" t="s">
        <v>321</v>
      </c>
      <c r="C34" s="94" t="s">
        <v>135</v>
      </c>
      <c r="D34" s="94" t="s">
        <v>147</v>
      </c>
      <c r="S34" s="27"/>
    </row>
    <row r="35" spans="2:20" x14ac:dyDescent="0.25">
      <c r="B35" s="2" t="s">
        <v>326</v>
      </c>
      <c r="C35" s="94" t="s">
        <v>135</v>
      </c>
      <c r="D35" s="94" t="s">
        <v>147</v>
      </c>
      <c r="S35" s="27"/>
    </row>
    <row r="36" spans="2:20" x14ac:dyDescent="0.25">
      <c r="C36" s="94"/>
      <c r="D36" s="94"/>
      <c r="S36" s="27"/>
    </row>
    <row r="37" spans="2:20" x14ac:dyDescent="0.25">
      <c r="B37" s="347" t="s">
        <v>235</v>
      </c>
      <c r="C37" s="333"/>
      <c r="D37" s="333"/>
      <c r="E37" s="333"/>
      <c r="F37" s="333"/>
      <c r="G37" s="333"/>
      <c r="H37" s="333"/>
      <c r="S37" s="27"/>
    </row>
    <row r="38" spans="2:20" x14ac:dyDescent="0.25">
      <c r="B38" s="249" t="s">
        <v>236</v>
      </c>
      <c r="C38" s="94"/>
      <c r="D38" s="94"/>
      <c r="S38" s="27"/>
    </row>
    <row r="39" spans="2:20" x14ac:dyDescent="0.25">
      <c r="B39" s="10"/>
      <c r="C39" s="96"/>
      <c r="D39" s="96"/>
      <c r="E39" s="10"/>
      <c r="F39" s="10"/>
      <c r="G39" s="10"/>
      <c r="H39" s="10"/>
      <c r="I39" s="10"/>
      <c r="J39" s="10"/>
      <c r="K39" s="10"/>
      <c r="L39" s="10"/>
      <c r="M39" s="10"/>
      <c r="N39" s="29"/>
      <c r="O39" s="29"/>
      <c r="P39" s="29"/>
      <c r="Q39" s="29"/>
      <c r="R39" s="29"/>
      <c r="S39" s="27"/>
    </row>
    <row r="40" spans="2:20" ht="15" customHeight="1" x14ac:dyDescent="0.25">
      <c r="N40" s="112"/>
      <c r="O40" s="112"/>
      <c r="P40" s="112"/>
      <c r="Q40" s="171" t="s">
        <v>90</v>
      </c>
      <c r="R40" s="168"/>
      <c r="S40" s="169"/>
    </row>
    <row r="41" spans="2:20" ht="15" customHeight="1" x14ac:dyDescent="0.25">
      <c r="B41" s="17" t="s">
        <v>39</v>
      </c>
      <c r="C41" s="98" t="s">
        <v>2</v>
      </c>
      <c r="D41" s="98"/>
      <c r="E41" s="98" t="s">
        <v>34</v>
      </c>
      <c r="F41" s="98" t="s">
        <v>35</v>
      </c>
      <c r="G41" s="123"/>
      <c r="H41" s="123"/>
      <c r="I41" s="117"/>
      <c r="J41" s="98"/>
      <c r="K41" s="98"/>
      <c r="L41" s="98" t="s">
        <v>36</v>
      </c>
      <c r="M41" s="98" t="s">
        <v>37</v>
      </c>
      <c r="N41" s="47"/>
      <c r="O41" s="47"/>
      <c r="P41" s="47"/>
      <c r="Q41" s="54" t="s">
        <v>88</v>
      </c>
      <c r="R41" s="52"/>
      <c r="S41" s="53"/>
      <c r="T41" s="51"/>
    </row>
    <row r="42" spans="2:20" ht="15" customHeight="1" x14ac:dyDescent="0.25">
      <c r="B42" s="65"/>
      <c r="C42" s="9"/>
      <c r="D42" s="9"/>
      <c r="E42" s="9"/>
      <c r="F42" s="9"/>
      <c r="G42" s="9"/>
      <c r="H42" s="9"/>
      <c r="I42" s="9"/>
      <c r="J42" s="9"/>
      <c r="K42" s="9"/>
      <c r="L42" s="9"/>
      <c r="M42" s="9"/>
      <c r="N42" s="45"/>
      <c r="O42" s="45"/>
      <c r="P42" s="45"/>
      <c r="Q42" s="59"/>
      <c r="R42" s="50"/>
      <c r="S42" s="50"/>
      <c r="T42" s="51"/>
    </row>
    <row r="43" spans="2:20" x14ac:dyDescent="0.25">
      <c r="B43" s="65"/>
      <c r="C43" s="9"/>
      <c r="D43" s="9"/>
      <c r="E43" s="9"/>
      <c r="F43" s="9"/>
      <c r="G43" s="9"/>
      <c r="H43" s="9"/>
      <c r="I43" s="9"/>
      <c r="J43" s="9"/>
      <c r="K43" s="9"/>
      <c r="L43" s="9"/>
      <c r="M43" s="9"/>
      <c r="N43" s="45"/>
      <c r="O43" s="45"/>
      <c r="P43" s="45"/>
      <c r="R43" s="51"/>
      <c r="S43" s="51"/>
      <c r="T43" s="51"/>
    </row>
    <row r="44" spans="2:20" x14ac:dyDescent="0.25">
      <c r="B44" s="11"/>
      <c r="C44" s="9"/>
      <c r="D44" s="9"/>
      <c r="E44" s="9"/>
      <c r="Q44" s="51"/>
      <c r="R44" s="51"/>
      <c r="S44" s="51"/>
      <c r="T44" s="51"/>
    </row>
    <row r="45" spans="2:20" x14ac:dyDescent="0.25">
      <c r="B45" s="11"/>
      <c r="C45" s="9"/>
      <c r="D45" s="9"/>
      <c r="E45" s="9"/>
      <c r="Q45" s="51"/>
      <c r="R45" s="51"/>
      <c r="S45" s="51"/>
      <c r="T45" s="51"/>
    </row>
    <row r="46" spans="2:20" x14ac:dyDescent="0.25">
      <c r="B46" s="11"/>
      <c r="C46" s="9"/>
      <c r="D46" s="9"/>
      <c r="E46" s="9"/>
      <c r="Q46" s="51"/>
      <c r="R46" s="51"/>
      <c r="S46" s="51"/>
      <c r="T46" s="51"/>
    </row>
    <row r="47" spans="2:20" x14ac:dyDescent="0.25">
      <c r="B47" s="11"/>
      <c r="C47" s="9"/>
      <c r="D47" s="9"/>
      <c r="E47" s="9"/>
      <c r="T47" s="51"/>
    </row>
    <row r="48" spans="2:20" x14ac:dyDescent="0.25">
      <c r="B48" s="12"/>
      <c r="C48" s="13"/>
      <c r="D48" s="13"/>
      <c r="E48" s="41"/>
      <c r="F48" s="15"/>
      <c r="G48" s="15"/>
      <c r="H48" s="15"/>
      <c r="I48" s="15"/>
      <c r="J48" s="15"/>
      <c r="K48" s="15"/>
      <c r="L48" s="16"/>
      <c r="M48" s="20"/>
      <c r="N48" s="18"/>
      <c r="O48" s="18"/>
      <c r="P48" s="18"/>
    </row>
    <row r="50" spans="17:19" x14ac:dyDescent="0.25">
      <c r="Q50" s="325" t="s">
        <v>343</v>
      </c>
      <c r="R50" s="325"/>
      <c r="S50" s="327">
        <f>S16</f>
        <v>236503.76</v>
      </c>
    </row>
  </sheetData>
  <mergeCells count="7">
    <mergeCell ref="B37:H37"/>
    <mergeCell ref="B25:F25"/>
    <mergeCell ref="Q2:S2"/>
    <mergeCell ref="Q1:S1"/>
    <mergeCell ref="B20:F20"/>
    <mergeCell ref="B22:F22"/>
    <mergeCell ref="B24:F24"/>
  </mergeCells>
  <hyperlinks>
    <hyperlink ref="B25" r:id="rId1"/>
  </hyperlinks>
  <printOptions horizontalCentered="1" gridLines="1"/>
  <pageMargins left="0" right="0" top="0.75" bottom="0.75" header="0.3" footer="0.3"/>
  <pageSetup scale="51" orientation="landscape" horizontalDpi="1200" verticalDpi="1200"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9"/>
  <sheetViews>
    <sheetView topLeftCell="F29" zoomScale="130" zoomScaleNormal="130" workbookViewId="0">
      <selection activeCell="S50" sqref="S50"/>
    </sheetView>
  </sheetViews>
  <sheetFormatPr defaultColWidth="9.140625" defaultRowHeight="15" x14ac:dyDescent="0.25"/>
  <cols>
    <col min="1" max="1" width="9.140625" style="2" hidden="1" customWidth="1"/>
    <col min="2" max="2" width="58.42578125" style="2" customWidth="1"/>
    <col min="3" max="3" width="26.28515625" style="2" customWidth="1"/>
    <col min="4" max="4" width="13.7109375" style="2" customWidth="1"/>
    <col min="5" max="5" width="17.28515625" style="2" customWidth="1"/>
    <col min="6" max="6" width="21.85546875" style="2" customWidth="1"/>
    <col min="7" max="7" width="10.28515625" style="2" customWidth="1"/>
    <col min="8" max="8" width="12.85546875" style="2" customWidth="1"/>
    <col min="9" max="9" width="13.42578125" style="2" customWidth="1"/>
    <col min="10" max="10" width="15.7109375" style="2" customWidth="1"/>
    <col min="11" max="11" width="8.85546875" style="2" customWidth="1"/>
    <col min="12" max="12" width="18.425781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6.7109375" style="2" customWidth="1"/>
    <col min="20" max="16384" width="9.140625" style="2"/>
  </cols>
  <sheetData>
    <row r="1" spans="1:20" ht="18" customHeight="1" x14ac:dyDescent="0.25">
      <c r="A1" s="2" t="s">
        <v>342</v>
      </c>
      <c r="B1" s="1" t="s">
        <v>19</v>
      </c>
      <c r="Q1" s="335" t="s">
        <v>230</v>
      </c>
      <c r="R1" s="335"/>
      <c r="S1" s="335"/>
    </row>
    <row r="2" spans="1:20" ht="18" customHeight="1" x14ac:dyDescent="0.25">
      <c r="B2" s="90" t="s">
        <v>148</v>
      </c>
      <c r="C2" s="187">
        <v>44377</v>
      </c>
      <c r="M2" s="73"/>
      <c r="N2" s="73"/>
      <c r="P2" s="29"/>
      <c r="Q2" s="334" t="s">
        <v>338</v>
      </c>
      <c r="R2" s="334"/>
      <c r="S2" s="334"/>
    </row>
    <row r="3" spans="1:20" ht="18" customHeight="1" thickBot="1" x14ac:dyDescent="0.3">
      <c r="A3" s="2" t="s">
        <v>16</v>
      </c>
      <c r="B3" s="44" t="s">
        <v>67</v>
      </c>
      <c r="C3" s="8"/>
      <c r="D3" s="8"/>
      <c r="E3" s="8"/>
      <c r="P3" s="29"/>
      <c r="Q3" s="45"/>
      <c r="R3" s="30"/>
    </row>
    <row r="4" spans="1:20" ht="18.75" customHeight="1" x14ac:dyDescent="0.25">
      <c r="B4" s="8" t="s">
        <v>174</v>
      </c>
      <c r="M4" s="87" t="s">
        <v>28</v>
      </c>
      <c r="N4" s="87" t="s">
        <v>28</v>
      </c>
      <c r="O4" s="87" t="s">
        <v>28</v>
      </c>
      <c r="P4" s="9"/>
      <c r="Q4" s="91" t="s">
        <v>29</v>
      </c>
      <c r="R4" s="91" t="s">
        <v>31</v>
      </c>
      <c r="S4" s="91" t="s">
        <v>23</v>
      </c>
      <c r="T4" s="7"/>
    </row>
    <row r="5" spans="1:20" ht="15.75" thickBot="1" x14ac:dyDescent="0.3">
      <c r="G5" s="188" t="s">
        <v>231</v>
      </c>
      <c r="H5" s="188" t="s">
        <v>231</v>
      </c>
      <c r="M5" s="88" t="s">
        <v>27</v>
      </c>
      <c r="N5" s="88" t="s">
        <v>26</v>
      </c>
      <c r="O5" s="88" t="s">
        <v>25</v>
      </c>
      <c r="P5" s="9"/>
      <c r="Q5" s="92" t="s">
        <v>30</v>
      </c>
      <c r="R5" s="92" t="s">
        <v>30</v>
      </c>
      <c r="S5" s="92" t="s">
        <v>30</v>
      </c>
      <c r="T5" s="7"/>
    </row>
    <row r="6" spans="1:20" ht="85.5" customHeight="1" thickBot="1" x14ac:dyDescent="0.3">
      <c r="B6" s="86" t="s">
        <v>1</v>
      </c>
      <c r="C6" s="86" t="s">
        <v>127</v>
      </c>
      <c r="D6" s="86" t="s">
        <v>107</v>
      </c>
      <c r="E6" s="86" t="s">
        <v>3</v>
      </c>
      <c r="F6" s="86" t="s">
        <v>4</v>
      </c>
      <c r="G6" s="110" t="s">
        <v>136</v>
      </c>
      <c r="H6" s="110" t="s">
        <v>137</v>
      </c>
      <c r="I6" s="110" t="s">
        <v>133</v>
      </c>
      <c r="J6" s="110" t="s">
        <v>134</v>
      </c>
      <c r="K6" s="110" t="s">
        <v>121</v>
      </c>
      <c r="L6" s="85" t="s">
        <v>5</v>
      </c>
      <c r="M6" s="89" t="s">
        <v>6</v>
      </c>
      <c r="N6" s="89" t="s">
        <v>6</v>
      </c>
      <c r="O6" s="89" t="s">
        <v>6</v>
      </c>
      <c r="P6" s="9"/>
      <c r="Q6" s="93"/>
      <c r="R6" s="99" t="s">
        <v>32</v>
      </c>
      <c r="S6" s="100" t="s">
        <v>33</v>
      </c>
    </row>
    <row r="7" spans="1:20" ht="23.25" hidden="1" customHeight="1" x14ac:dyDescent="0.25">
      <c r="B7" s="2" t="s">
        <v>8</v>
      </c>
      <c r="C7" s="94" t="s">
        <v>106</v>
      </c>
      <c r="D7" s="94" t="s">
        <v>246</v>
      </c>
      <c r="E7" s="2" t="s">
        <v>232</v>
      </c>
      <c r="F7" s="2" t="s">
        <v>7</v>
      </c>
      <c r="G7" s="191">
        <v>2.9600000000000001E-2</v>
      </c>
      <c r="H7" s="191">
        <v>0.1744</v>
      </c>
      <c r="I7" s="192">
        <v>44377</v>
      </c>
      <c r="J7" s="192">
        <v>44378</v>
      </c>
      <c r="K7" s="192">
        <v>44013</v>
      </c>
      <c r="L7" s="193" t="s">
        <v>234</v>
      </c>
      <c r="M7" s="67"/>
      <c r="N7" s="69"/>
      <c r="O7" s="69">
        <f>M7+N7</f>
        <v>0</v>
      </c>
      <c r="P7" s="69"/>
      <c r="Q7" s="69"/>
      <c r="R7" s="69"/>
      <c r="S7" s="70">
        <f>SUM(Q7:R7)</f>
        <v>0</v>
      </c>
    </row>
    <row r="8" spans="1:20" ht="36" customHeight="1" x14ac:dyDescent="0.25">
      <c r="B8" s="2" t="s">
        <v>128</v>
      </c>
      <c r="C8" s="243" t="s">
        <v>122</v>
      </c>
      <c r="D8" s="95" t="s">
        <v>248</v>
      </c>
      <c r="E8" s="2" t="s">
        <v>233</v>
      </c>
      <c r="F8" s="2" t="s">
        <v>7</v>
      </c>
      <c r="G8" s="191">
        <f>+G7</f>
        <v>2.9600000000000001E-2</v>
      </c>
      <c r="H8" s="191">
        <f t="shared" ref="H8" si="0">+H7</f>
        <v>0.1744</v>
      </c>
      <c r="I8" s="192">
        <f>+I7</f>
        <v>44377</v>
      </c>
      <c r="J8" s="192">
        <f>+J7</f>
        <v>44378</v>
      </c>
      <c r="K8" s="192">
        <f>+K7</f>
        <v>44013</v>
      </c>
      <c r="L8" s="209" t="str">
        <f>+L7</f>
        <v>07/01/20 - 06/30/21</v>
      </c>
      <c r="M8" s="67">
        <v>8750.64</v>
      </c>
      <c r="N8" s="69"/>
      <c r="O8" s="69">
        <f>M8+N8</f>
        <v>8750.64</v>
      </c>
      <c r="P8" s="69"/>
      <c r="Q8" s="69">
        <v>8750.64</v>
      </c>
      <c r="R8" s="69"/>
      <c r="S8" s="70">
        <f>SUM(Q8:R8)</f>
        <v>8750.64</v>
      </c>
    </row>
    <row r="9" spans="1:20" ht="28.5" customHeight="1" x14ac:dyDescent="0.25">
      <c r="B9" s="2" t="s">
        <v>241</v>
      </c>
      <c r="C9" s="243" t="s">
        <v>242</v>
      </c>
      <c r="D9" s="95" t="s">
        <v>243</v>
      </c>
      <c r="E9" s="2" t="s">
        <v>244</v>
      </c>
      <c r="F9" s="2" t="s">
        <v>7</v>
      </c>
      <c r="G9" s="191">
        <v>2.9600000000000001E-2</v>
      </c>
      <c r="H9" s="191">
        <v>0.1744</v>
      </c>
      <c r="I9" s="192">
        <v>44834</v>
      </c>
      <c r="J9" s="288" t="s">
        <v>258</v>
      </c>
      <c r="K9" s="192">
        <v>43614</v>
      </c>
      <c r="L9" s="193" t="s">
        <v>311</v>
      </c>
      <c r="M9" s="67">
        <v>62527.49</v>
      </c>
      <c r="N9" s="69"/>
      <c r="O9" s="69">
        <f>M9+N9</f>
        <v>62527.49</v>
      </c>
      <c r="P9" s="69"/>
      <c r="Q9" s="69"/>
      <c r="R9" s="69"/>
      <c r="S9" s="70">
        <f>SUM(Q9:R9)</f>
        <v>0</v>
      </c>
    </row>
    <row r="10" spans="1:20" ht="28.5" customHeight="1" x14ac:dyDescent="0.25">
      <c r="B10" s="2" t="s">
        <v>283</v>
      </c>
      <c r="C10" s="243" t="s">
        <v>264</v>
      </c>
      <c r="D10" s="95" t="s">
        <v>254</v>
      </c>
      <c r="E10" s="2" t="s">
        <v>284</v>
      </c>
      <c r="F10" s="2" t="s">
        <v>7</v>
      </c>
      <c r="G10" s="191">
        <f t="shared" ref="G10:H10" si="1">+G9</f>
        <v>2.9600000000000001E-2</v>
      </c>
      <c r="H10" s="191">
        <f t="shared" si="1"/>
        <v>0.1744</v>
      </c>
      <c r="I10" s="192">
        <v>44377</v>
      </c>
      <c r="J10" s="192">
        <v>44392</v>
      </c>
      <c r="K10" s="192">
        <v>43613</v>
      </c>
      <c r="L10" s="193" t="s">
        <v>234</v>
      </c>
      <c r="M10" s="81">
        <v>7302.48</v>
      </c>
      <c r="N10" s="69"/>
      <c r="O10" s="69">
        <f>M10+N10</f>
        <v>7302.48</v>
      </c>
      <c r="P10" s="69"/>
      <c r="Q10" s="69"/>
      <c r="R10" s="69"/>
      <c r="S10" s="70">
        <f>Q10+R10</f>
        <v>0</v>
      </c>
    </row>
    <row r="11" spans="1:20" ht="28.5" customHeight="1" x14ac:dyDescent="0.25">
      <c r="B11" s="2" t="s">
        <v>318</v>
      </c>
      <c r="C11" s="243" t="s">
        <v>242</v>
      </c>
      <c r="D11" s="95" t="s">
        <v>243</v>
      </c>
      <c r="E11" s="2" t="s">
        <v>319</v>
      </c>
      <c r="F11" s="2" t="s">
        <v>7</v>
      </c>
      <c r="G11" s="191">
        <v>2.9600000000000001E-2</v>
      </c>
      <c r="H11" s="191">
        <v>0.1744</v>
      </c>
      <c r="I11" s="192">
        <v>44561</v>
      </c>
      <c r="J11" s="192">
        <v>44576</v>
      </c>
      <c r="K11" s="192">
        <v>43980</v>
      </c>
      <c r="L11" s="193" t="s">
        <v>320</v>
      </c>
      <c r="M11" s="81">
        <v>3000</v>
      </c>
      <c r="N11" s="69"/>
      <c r="O11" s="69">
        <f t="shared" ref="O11:O13" si="2">M11+N11</f>
        <v>3000</v>
      </c>
      <c r="P11" s="68"/>
      <c r="Q11" s="69"/>
      <c r="R11" s="69"/>
      <c r="S11" s="70">
        <f t="shared" ref="S11:S13" si="3">Q11+R11</f>
        <v>0</v>
      </c>
    </row>
    <row r="12" spans="1:20" ht="28.5" customHeight="1" x14ac:dyDescent="0.25">
      <c r="B12" s="2" t="s">
        <v>321</v>
      </c>
      <c r="C12" s="243" t="s">
        <v>264</v>
      </c>
      <c r="D12" s="95" t="s">
        <v>254</v>
      </c>
      <c r="E12" s="2" t="s">
        <v>322</v>
      </c>
      <c r="F12" s="2" t="s">
        <v>7</v>
      </c>
      <c r="G12" s="191">
        <v>2.9600000000000001E-2</v>
      </c>
      <c r="H12" s="191">
        <v>0.1744</v>
      </c>
      <c r="I12" s="192">
        <v>44742</v>
      </c>
      <c r="J12" s="192">
        <v>44757</v>
      </c>
      <c r="K12" s="192">
        <v>43979</v>
      </c>
      <c r="L12" s="193" t="s">
        <v>323</v>
      </c>
      <c r="M12" s="81">
        <v>1027</v>
      </c>
      <c r="N12" s="69"/>
      <c r="O12" s="69">
        <f t="shared" si="2"/>
        <v>1027</v>
      </c>
      <c r="P12" s="68"/>
      <c r="Q12" s="69"/>
      <c r="R12" s="69"/>
      <c r="S12" s="70">
        <f t="shared" si="3"/>
        <v>0</v>
      </c>
    </row>
    <row r="13" spans="1:20" ht="28.5" customHeight="1" x14ac:dyDescent="0.25">
      <c r="B13" s="2" t="s">
        <v>327</v>
      </c>
      <c r="C13" s="243" t="s">
        <v>242</v>
      </c>
      <c r="D13" s="95" t="s">
        <v>328</v>
      </c>
      <c r="E13" s="2" t="s">
        <v>329</v>
      </c>
      <c r="F13" s="2" t="s">
        <v>7</v>
      </c>
      <c r="G13" s="191">
        <v>2.9600000000000001E-2</v>
      </c>
      <c r="H13" s="191">
        <v>0.1744</v>
      </c>
      <c r="I13" s="192">
        <v>44440</v>
      </c>
      <c r="J13" s="192">
        <v>44440</v>
      </c>
      <c r="K13" s="192">
        <v>44201</v>
      </c>
      <c r="L13" s="193" t="s">
        <v>330</v>
      </c>
      <c r="M13" s="81">
        <v>140468.5</v>
      </c>
      <c r="N13" s="69"/>
      <c r="O13" s="69">
        <f t="shared" si="2"/>
        <v>140468.5</v>
      </c>
      <c r="P13" s="68"/>
      <c r="Q13" s="69"/>
      <c r="R13" s="69"/>
      <c r="S13" s="70">
        <f t="shared" si="3"/>
        <v>0</v>
      </c>
    </row>
    <row r="14" spans="1:20" x14ac:dyDescent="0.25">
      <c r="C14" s="95"/>
      <c r="D14" s="95"/>
      <c r="G14" s="191" t="s">
        <v>100</v>
      </c>
      <c r="H14" s="191"/>
      <c r="I14" s="192"/>
      <c r="J14" s="192"/>
      <c r="K14" s="192"/>
      <c r="L14" s="193"/>
      <c r="M14" s="25"/>
      <c r="N14" s="25"/>
      <c r="O14" s="25"/>
      <c r="P14" s="29"/>
      <c r="Q14" s="25"/>
      <c r="R14" s="25"/>
      <c r="S14" s="26"/>
    </row>
    <row r="15" spans="1:20" ht="23.25" customHeight="1" x14ac:dyDescent="0.25">
      <c r="C15" s="4"/>
      <c r="D15" s="4"/>
      <c r="G15" s="126"/>
      <c r="H15" s="127"/>
      <c r="I15" s="119"/>
      <c r="J15" s="119"/>
      <c r="K15" s="119"/>
      <c r="L15" s="5" t="s">
        <v>38</v>
      </c>
      <c r="M15" s="68">
        <f>SUM(M7:M14)</f>
        <v>223076.11</v>
      </c>
      <c r="N15" s="68">
        <f>SUM(N7:N14)</f>
        <v>0</v>
      </c>
      <c r="O15" s="68">
        <f>SUM(O7:O14)</f>
        <v>223076.11</v>
      </c>
      <c r="P15" s="68"/>
      <c r="Q15" s="68">
        <f>SUM(Q7:Q14)</f>
        <v>8750.64</v>
      </c>
      <c r="R15" s="68">
        <f>SUM(R7:R14)</f>
        <v>0</v>
      </c>
      <c r="S15" s="23">
        <f>SUM(S7:S14)</f>
        <v>8750.64</v>
      </c>
    </row>
    <row r="16" spans="1:20" x14ac:dyDescent="0.25">
      <c r="C16" s="4"/>
      <c r="D16" s="4"/>
      <c r="I16" s="119"/>
      <c r="J16" s="119"/>
      <c r="K16" s="119"/>
      <c r="L16" s="5"/>
      <c r="M16" s="68"/>
      <c r="N16" s="68"/>
      <c r="O16" s="68"/>
      <c r="Q16" s="68"/>
      <c r="R16" s="68"/>
      <c r="S16" s="70"/>
    </row>
    <row r="17" spans="2:19" x14ac:dyDescent="0.25">
      <c r="C17" s="4"/>
      <c r="D17" s="4"/>
      <c r="L17" s="5"/>
      <c r="M17" s="68"/>
      <c r="N17" s="68"/>
      <c r="O17" s="68"/>
      <c r="Q17" s="68"/>
      <c r="R17" s="68"/>
      <c r="S17" s="70"/>
    </row>
    <row r="18" spans="2:19" x14ac:dyDescent="0.25">
      <c r="B18" s="8" t="s">
        <v>125</v>
      </c>
      <c r="C18" s="94"/>
      <c r="D18" s="94"/>
      <c r="L18" s="5"/>
      <c r="M18" s="68"/>
      <c r="N18" s="68"/>
      <c r="O18" s="68"/>
      <c r="Q18" s="68"/>
      <c r="R18" s="68"/>
      <c r="S18" s="70"/>
    </row>
    <row r="19" spans="2:19" ht="31.5" customHeight="1" x14ac:dyDescent="0.25">
      <c r="B19" s="338" t="s">
        <v>126</v>
      </c>
      <c r="C19" s="338"/>
      <c r="D19" s="338"/>
      <c r="E19" s="338"/>
      <c r="F19" s="338"/>
      <c r="G19" s="120"/>
      <c r="H19" s="120"/>
      <c r="I19" s="114"/>
      <c r="L19" s="5"/>
      <c r="M19" s="68"/>
      <c r="N19" s="68"/>
      <c r="O19" s="68"/>
      <c r="Q19" s="68"/>
      <c r="R19" s="68"/>
      <c r="S19" s="70"/>
    </row>
    <row r="20" spans="2:19" x14ac:dyDescent="0.25">
      <c r="C20" s="94"/>
      <c r="D20" s="94"/>
      <c r="L20" s="5"/>
      <c r="M20" s="68"/>
      <c r="N20" s="68"/>
      <c r="O20" s="68"/>
      <c r="Q20" s="68"/>
      <c r="R20" s="68"/>
      <c r="S20" s="70"/>
    </row>
    <row r="21" spans="2:19" ht="48" customHeight="1" x14ac:dyDescent="0.25">
      <c r="B21" s="338" t="s">
        <v>129</v>
      </c>
      <c r="C21" s="338"/>
      <c r="D21" s="338"/>
      <c r="E21" s="338"/>
      <c r="F21" s="338"/>
      <c r="G21" s="120"/>
      <c r="H21" s="120"/>
      <c r="I21" s="114"/>
      <c r="L21" s="5"/>
      <c r="M21" s="68"/>
      <c r="N21" s="68"/>
      <c r="O21" s="68"/>
      <c r="Q21" s="68"/>
      <c r="R21" s="68"/>
      <c r="S21" s="70"/>
    </row>
    <row r="22" spans="2:19" x14ac:dyDescent="0.25">
      <c r="B22" s="198"/>
      <c r="C22" s="198"/>
      <c r="D22" s="198"/>
      <c r="E22" s="198"/>
      <c r="F22" s="198"/>
      <c r="G22" s="198"/>
      <c r="H22" s="198"/>
      <c r="I22" s="198"/>
      <c r="L22" s="5"/>
      <c r="M22" s="68"/>
      <c r="N22" s="68"/>
      <c r="O22" s="68"/>
      <c r="Q22" s="68"/>
      <c r="R22" s="68"/>
      <c r="S22" s="70"/>
    </row>
    <row r="23" spans="2:19" ht="30.75" customHeight="1" x14ac:dyDescent="0.25">
      <c r="B23" s="338" t="s">
        <v>160</v>
      </c>
      <c r="C23" s="338"/>
      <c r="D23" s="338"/>
      <c r="E23" s="338"/>
      <c r="F23" s="338"/>
      <c r="G23" s="198"/>
      <c r="H23" s="198"/>
      <c r="I23" s="198"/>
      <c r="L23" s="5"/>
      <c r="M23" s="68"/>
      <c r="N23" s="68"/>
      <c r="O23" s="68"/>
      <c r="Q23" s="68"/>
      <c r="R23" s="68"/>
      <c r="S23" s="70"/>
    </row>
    <row r="24" spans="2:19" ht="15" customHeight="1" x14ac:dyDescent="0.25">
      <c r="B24" s="346" t="s">
        <v>159</v>
      </c>
      <c r="C24" s="338"/>
      <c r="D24" s="338"/>
      <c r="E24" s="338"/>
      <c r="F24" s="338"/>
      <c r="G24" s="198"/>
      <c r="H24" s="198"/>
      <c r="I24" s="198"/>
      <c r="L24" s="5"/>
      <c r="M24" s="68"/>
      <c r="N24" s="68"/>
      <c r="O24" s="68"/>
      <c r="Q24" s="68"/>
      <c r="R24" s="68"/>
      <c r="S24" s="70"/>
    </row>
    <row r="25" spans="2:19" ht="15" customHeight="1" x14ac:dyDescent="0.25">
      <c r="B25" s="200"/>
      <c r="C25" s="200"/>
      <c r="D25" s="200"/>
      <c r="E25" s="200"/>
      <c r="F25" s="200"/>
      <c r="G25" s="200"/>
      <c r="H25" s="200"/>
      <c r="I25" s="200"/>
      <c r="L25" s="5"/>
      <c r="M25" s="68"/>
      <c r="N25" s="68"/>
      <c r="O25" s="68"/>
      <c r="Q25" s="68"/>
      <c r="R25" s="68"/>
      <c r="S25" s="70"/>
    </row>
    <row r="26" spans="2:19" x14ac:dyDescent="0.25">
      <c r="B26" s="111"/>
      <c r="C26" s="111"/>
      <c r="D26" s="111"/>
      <c r="E26" s="111"/>
      <c r="F26" s="111"/>
      <c r="G26" s="120"/>
      <c r="H26" s="120"/>
      <c r="I26" s="114"/>
      <c r="L26" s="5"/>
      <c r="M26" s="68"/>
      <c r="N26" s="68"/>
      <c r="O26" s="68"/>
      <c r="Q26" s="68"/>
      <c r="R26" s="68"/>
      <c r="S26" s="70"/>
    </row>
    <row r="27" spans="2:19" x14ac:dyDescent="0.25">
      <c r="B27" s="7" t="s">
        <v>109</v>
      </c>
      <c r="C27" s="104" t="s">
        <v>112</v>
      </c>
      <c r="D27" s="104" t="s">
        <v>113</v>
      </c>
      <c r="E27" s="111"/>
      <c r="F27" s="111"/>
      <c r="G27" s="120"/>
      <c r="H27" s="120"/>
      <c r="I27" s="114"/>
      <c r="L27" s="5"/>
      <c r="M27" s="68"/>
      <c r="N27" s="68"/>
      <c r="O27" s="68"/>
      <c r="Q27" s="68"/>
      <c r="R27" s="68"/>
      <c r="S27" s="70"/>
    </row>
    <row r="28" spans="2:19" x14ac:dyDescent="0.25">
      <c r="B28" s="2" t="s">
        <v>110</v>
      </c>
      <c r="C28" s="94" t="s">
        <v>116</v>
      </c>
      <c r="D28" s="94" t="s">
        <v>118</v>
      </c>
      <c r="E28" s="229"/>
      <c r="F28" s="229"/>
      <c r="G28" s="229"/>
      <c r="H28" s="229"/>
      <c r="I28" s="229"/>
      <c r="L28" s="5"/>
      <c r="M28" s="68"/>
      <c r="N28" s="68"/>
      <c r="O28" s="68"/>
      <c r="Q28" s="68"/>
      <c r="R28" s="68"/>
      <c r="S28" s="70"/>
    </row>
    <row r="29" spans="2:19" x14ac:dyDescent="0.25">
      <c r="B29" s="2" t="s">
        <v>252</v>
      </c>
      <c r="C29" s="94" t="s">
        <v>135</v>
      </c>
      <c r="D29" s="94" t="s">
        <v>147</v>
      </c>
      <c r="L29" s="5"/>
      <c r="M29" s="68"/>
      <c r="N29" s="68"/>
      <c r="O29" s="68"/>
      <c r="Q29" s="68"/>
      <c r="R29" s="68"/>
      <c r="S29" s="70"/>
    </row>
    <row r="30" spans="2:19" x14ac:dyDescent="0.25">
      <c r="B30" s="2" t="s">
        <v>260</v>
      </c>
      <c r="C30" s="94" t="s">
        <v>135</v>
      </c>
      <c r="D30" s="94" t="s">
        <v>147</v>
      </c>
      <c r="L30" s="5"/>
      <c r="M30" s="68"/>
      <c r="N30" s="68"/>
      <c r="O30" s="68"/>
      <c r="Q30" s="68"/>
      <c r="R30" s="68"/>
      <c r="S30" s="70"/>
    </row>
    <row r="31" spans="2:19" x14ac:dyDescent="0.25">
      <c r="B31" s="2" t="s">
        <v>318</v>
      </c>
      <c r="C31" s="94" t="s">
        <v>135</v>
      </c>
      <c r="D31" s="94" t="s">
        <v>147</v>
      </c>
      <c r="L31" s="5"/>
      <c r="M31" s="68"/>
      <c r="N31" s="68"/>
      <c r="O31" s="68"/>
      <c r="Q31" s="68"/>
      <c r="R31" s="68"/>
      <c r="S31" s="70"/>
    </row>
    <row r="32" spans="2:19" x14ac:dyDescent="0.25">
      <c r="B32" s="2" t="s">
        <v>321</v>
      </c>
      <c r="C32" s="94" t="s">
        <v>135</v>
      </c>
      <c r="D32" s="94" t="s">
        <v>147</v>
      </c>
      <c r="L32" s="5"/>
      <c r="M32" s="68"/>
      <c r="N32" s="68"/>
      <c r="O32" s="68"/>
      <c r="Q32" s="68"/>
      <c r="R32" s="68"/>
      <c r="S32" s="70"/>
    </row>
    <row r="33" spans="2:20" x14ac:dyDescent="0.25">
      <c r="B33" s="2" t="s">
        <v>326</v>
      </c>
      <c r="C33" s="94" t="s">
        <v>135</v>
      </c>
      <c r="D33" s="94" t="s">
        <v>147</v>
      </c>
      <c r="L33" s="5"/>
      <c r="M33" s="68"/>
      <c r="N33" s="68"/>
      <c r="O33" s="68"/>
      <c r="Q33" s="68"/>
      <c r="R33" s="68"/>
      <c r="S33" s="70"/>
    </row>
    <row r="34" spans="2:20" x14ac:dyDescent="0.25">
      <c r="C34" s="94"/>
      <c r="D34" s="94"/>
      <c r="L34" s="5"/>
      <c r="M34" s="68"/>
      <c r="N34" s="68"/>
      <c r="O34" s="68"/>
      <c r="Q34" s="68"/>
      <c r="R34" s="68"/>
      <c r="S34" s="70"/>
    </row>
    <row r="35" spans="2:20" x14ac:dyDescent="0.25">
      <c r="B35" s="347" t="s">
        <v>235</v>
      </c>
      <c r="C35" s="333"/>
      <c r="D35" s="333"/>
      <c r="E35" s="333"/>
      <c r="F35" s="333"/>
      <c r="G35" s="333"/>
      <c r="H35" s="333"/>
      <c r="L35" s="5"/>
      <c r="M35" s="68"/>
      <c r="N35" s="68"/>
      <c r="O35" s="68"/>
      <c r="Q35" s="68"/>
      <c r="R35" s="68"/>
      <c r="S35" s="70"/>
    </row>
    <row r="36" spans="2:20" x14ac:dyDescent="0.25">
      <c r="B36" s="249" t="s">
        <v>236</v>
      </c>
      <c r="C36" s="94"/>
      <c r="D36" s="94"/>
      <c r="L36" s="5"/>
      <c r="M36" s="68"/>
      <c r="N36" s="68"/>
      <c r="O36" s="68"/>
      <c r="Q36" s="68"/>
      <c r="R36" s="68"/>
      <c r="S36" s="70"/>
    </row>
    <row r="37" spans="2:20" x14ac:dyDescent="0.25">
      <c r="B37" s="128"/>
      <c r="C37" s="4"/>
      <c r="D37" s="4"/>
      <c r="L37" s="5"/>
      <c r="M37" s="68"/>
      <c r="N37" s="68"/>
      <c r="O37" s="68"/>
      <c r="Q37" s="68"/>
      <c r="R37" s="68"/>
      <c r="S37" s="70"/>
    </row>
    <row r="38" spans="2:20" ht="15" customHeight="1" x14ac:dyDescent="0.25">
      <c r="B38" s="178"/>
      <c r="C38" s="112"/>
      <c r="D38" s="112"/>
      <c r="E38" s="112"/>
      <c r="F38" s="112"/>
      <c r="G38" s="112"/>
      <c r="H38" s="112"/>
      <c r="I38" s="112"/>
      <c r="J38" s="112"/>
      <c r="K38" s="112"/>
      <c r="L38" s="112"/>
      <c r="M38" s="112"/>
      <c r="N38" s="112"/>
      <c r="O38" s="112"/>
      <c r="P38" s="112"/>
      <c r="Q38" s="171" t="s">
        <v>90</v>
      </c>
      <c r="R38" s="168"/>
      <c r="S38" s="169"/>
      <c r="T38" s="51"/>
    </row>
    <row r="39" spans="2:20" ht="15" customHeight="1" x14ac:dyDescent="0.25">
      <c r="B39" s="180" t="s">
        <v>39</v>
      </c>
      <c r="C39" s="162" t="s">
        <v>2</v>
      </c>
      <c r="D39" s="162"/>
      <c r="E39" s="162" t="s">
        <v>34</v>
      </c>
      <c r="F39" s="162" t="s">
        <v>35</v>
      </c>
      <c r="G39" s="162"/>
      <c r="H39" s="162"/>
      <c r="I39" s="162"/>
      <c r="J39" s="162"/>
      <c r="K39" s="162"/>
      <c r="L39" s="162" t="s">
        <v>36</v>
      </c>
      <c r="M39" s="162" t="s">
        <v>37</v>
      </c>
      <c r="N39" s="10"/>
      <c r="O39" s="10"/>
      <c r="P39" s="10"/>
      <c r="Q39" s="54" t="s">
        <v>88</v>
      </c>
      <c r="R39" s="52"/>
      <c r="S39" s="53"/>
    </row>
    <row r="40" spans="2:20" ht="15" customHeight="1" x14ac:dyDescent="0.25">
      <c r="B40" s="65"/>
      <c r="C40" s="9"/>
      <c r="D40" s="9"/>
      <c r="E40" s="9"/>
      <c r="F40" s="9"/>
      <c r="G40" s="9"/>
      <c r="H40" s="9"/>
      <c r="I40" s="9"/>
      <c r="J40" s="9"/>
      <c r="K40" s="9"/>
      <c r="L40" s="9"/>
      <c r="M40" s="9"/>
      <c r="Q40" s="59"/>
      <c r="R40" s="49"/>
      <c r="S40" s="49"/>
    </row>
    <row r="41" spans="2:20" x14ac:dyDescent="0.25">
      <c r="B41" s="65"/>
      <c r="C41" s="9"/>
      <c r="D41" s="9"/>
      <c r="E41" s="9"/>
      <c r="F41" s="9"/>
      <c r="G41" s="9"/>
      <c r="H41" s="9"/>
      <c r="I41" s="9"/>
      <c r="J41" s="9"/>
      <c r="K41" s="9"/>
      <c r="L41" s="9"/>
      <c r="M41" s="9"/>
      <c r="R41" s="51"/>
      <c r="S41" s="51"/>
    </row>
    <row r="42" spans="2:20" x14ac:dyDescent="0.25">
      <c r="B42" s="12"/>
      <c r="C42" s="13"/>
      <c r="D42" s="13"/>
      <c r="E42" s="41"/>
      <c r="F42" s="15"/>
      <c r="G42" s="15"/>
      <c r="H42" s="15"/>
      <c r="I42" s="15"/>
      <c r="J42" s="15"/>
      <c r="K42" s="15"/>
      <c r="L42" s="16"/>
      <c r="M42" s="20"/>
      <c r="N42" s="18"/>
      <c r="O42" s="18"/>
      <c r="P42" s="18"/>
    </row>
    <row r="43" spans="2:20" ht="15" customHeight="1" x14ac:dyDescent="0.25">
      <c r="B43" s="12"/>
      <c r="C43" s="13"/>
      <c r="D43" s="13"/>
      <c r="E43" s="41"/>
      <c r="F43" s="15"/>
      <c r="G43" s="15"/>
      <c r="H43" s="15"/>
      <c r="I43" s="15"/>
      <c r="J43" s="15"/>
      <c r="K43" s="15"/>
      <c r="L43" s="16"/>
      <c r="M43" s="20"/>
      <c r="N43" s="18"/>
      <c r="O43" s="18"/>
      <c r="P43" s="18"/>
    </row>
    <row r="44" spans="2:20" ht="15" customHeight="1" x14ac:dyDescent="0.25">
      <c r="B44" s="12"/>
      <c r="C44" s="13"/>
      <c r="D44" s="13"/>
      <c r="E44" s="41"/>
      <c r="F44" s="15"/>
      <c r="G44" s="15"/>
      <c r="H44" s="15"/>
      <c r="I44" s="15"/>
      <c r="J44" s="15"/>
      <c r="K44" s="15"/>
      <c r="L44" s="16"/>
      <c r="M44" s="20"/>
      <c r="N44" s="18"/>
      <c r="O44" s="18"/>
      <c r="P44" s="18"/>
    </row>
    <row r="45" spans="2:20" ht="15" customHeight="1" x14ac:dyDescent="0.25">
      <c r="B45" s="12"/>
      <c r="C45" s="13"/>
      <c r="D45" s="13"/>
      <c r="E45" s="41"/>
      <c r="F45" s="15"/>
      <c r="G45" s="15"/>
      <c r="H45" s="15"/>
      <c r="I45" s="15"/>
      <c r="J45" s="15"/>
      <c r="K45" s="15"/>
      <c r="L45" s="16"/>
      <c r="M45" s="20"/>
      <c r="N45" s="18"/>
      <c r="O45" s="18"/>
      <c r="P45" s="18"/>
    </row>
    <row r="46" spans="2:20" ht="15" customHeight="1" x14ac:dyDescent="0.25">
      <c r="B46" s="12"/>
      <c r="C46" s="13"/>
      <c r="D46" s="13"/>
      <c r="E46" s="41"/>
      <c r="F46" s="15"/>
      <c r="G46" s="15"/>
      <c r="H46" s="15"/>
      <c r="I46" s="15"/>
      <c r="J46" s="15"/>
      <c r="K46" s="15"/>
      <c r="L46" s="16"/>
      <c r="M46" s="20"/>
      <c r="N46" s="18"/>
      <c r="O46" s="18"/>
      <c r="P46" s="18"/>
    </row>
    <row r="47" spans="2:20" x14ac:dyDescent="0.25">
      <c r="B47" s="36"/>
      <c r="C47" s="40"/>
      <c r="D47" s="40"/>
      <c r="E47" s="41"/>
      <c r="F47" s="38"/>
      <c r="G47" s="38"/>
      <c r="H47" s="38"/>
      <c r="I47" s="38"/>
      <c r="J47" s="38"/>
      <c r="K47" s="38"/>
      <c r="L47" s="39"/>
      <c r="M47" s="34"/>
      <c r="N47" s="107"/>
      <c r="O47" s="29"/>
      <c r="P47" s="29"/>
    </row>
    <row r="48" spans="2:20" x14ac:dyDescent="0.25">
      <c r="C48" s="40"/>
      <c r="D48" s="40"/>
      <c r="E48" s="41"/>
      <c r="F48" s="71"/>
      <c r="G48" s="71"/>
      <c r="H48" s="71"/>
      <c r="I48" s="71"/>
      <c r="J48" s="71"/>
      <c r="K48" s="71"/>
      <c r="L48" s="33"/>
      <c r="M48" s="31"/>
      <c r="N48" s="107"/>
    </row>
    <row r="49" spans="2:19" x14ac:dyDescent="0.25">
      <c r="C49" s="40"/>
      <c r="D49" s="40"/>
      <c r="E49" s="41"/>
      <c r="F49" s="71"/>
      <c r="G49" s="71"/>
      <c r="H49" s="71"/>
      <c r="I49" s="71"/>
      <c r="J49" s="71"/>
      <c r="K49" s="71"/>
      <c r="L49" s="33"/>
      <c r="M49" s="31"/>
      <c r="N49" s="108"/>
    </row>
    <row r="50" spans="2:19" x14ac:dyDescent="0.25">
      <c r="C50" s="40"/>
      <c r="D50" s="40"/>
      <c r="E50" s="41"/>
      <c r="F50" s="71"/>
      <c r="G50" s="71"/>
      <c r="H50" s="71"/>
      <c r="I50" s="71"/>
      <c r="J50" s="71"/>
      <c r="K50" s="71"/>
      <c r="L50" s="33"/>
      <c r="M50" s="35"/>
      <c r="N50" s="37"/>
      <c r="O50" s="37"/>
      <c r="P50" s="29"/>
      <c r="Q50" s="325" t="s">
        <v>343</v>
      </c>
      <c r="R50" s="325"/>
      <c r="S50" s="327">
        <f>S15</f>
        <v>8750.64</v>
      </c>
    </row>
    <row r="51" spans="2:19" ht="15" customHeight="1" x14ac:dyDescent="0.25">
      <c r="B51" s="36"/>
      <c r="C51" s="40"/>
      <c r="D51" s="40"/>
      <c r="E51" s="41"/>
      <c r="F51" s="38"/>
      <c r="G51" s="38"/>
      <c r="H51" s="38"/>
      <c r="I51" s="38"/>
      <c r="J51" s="38"/>
      <c r="K51" s="38"/>
      <c r="L51" s="33"/>
      <c r="M51" s="31"/>
      <c r="N51" s="101"/>
      <c r="O51" s="101"/>
      <c r="P51" s="29"/>
    </row>
    <row r="52" spans="2:19" x14ac:dyDescent="0.25">
      <c r="B52" s="36"/>
      <c r="C52" s="40"/>
      <c r="D52" s="40"/>
      <c r="E52" s="41"/>
      <c r="F52" s="38"/>
      <c r="G52" s="38"/>
      <c r="H52" s="38"/>
      <c r="I52" s="38"/>
      <c r="J52" s="38"/>
      <c r="K52" s="38"/>
      <c r="L52" s="33"/>
      <c r="M52" s="31"/>
      <c r="N52" s="101"/>
      <c r="O52" s="101"/>
      <c r="P52" s="29"/>
    </row>
    <row r="53" spans="2:19" x14ac:dyDescent="0.25">
      <c r="B53" s="36"/>
      <c r="C53" s="40"/>
      <c r="D53" s="40"/>
      <c r="E53" s="41"/>
      <c r="F53" s="38"/>
      <c r="G53" s="38"/>
      <c r="H53" s="38"/>
      <c r="I53" s="38"/>
      <c r="J53" s="38"/>
      <c r="K53" s="38"/>
      <c r="L53" s="33"/>
      <c r="M53" s="31"/>
      <c r="N53" s="101"/>
      <c r="O53" s="101"/>
      <c r="P53" s="29"/>
    </row>
    <row r="54" spans="2:19" ht="16.5" customHeight="1" x14ac:dyDescent="0.25">
      <c r="B54" s="36"/>
      <c r="C54" s="40"/>
      <c r="D54" s="40"/>
      <c r="E54" s="41"/>
      <c r="F54" s="38"/>
      <c r="G54" s="38"/>
      <c r="H54" s="38"/>
      <c r="I54" s="38"/>
      <c r="J54" s="38"/>
      <c r="K54" s="38"/>
      <c r="L54" s="39"/>
      <c r="M54" s="20"/>
      <c r="N54" s="101"/>
      <c r="O54" s="101"/>
      <c r="P54" s="29"/>
    </row>
    <row r="55" spans="2:19" ht="15" hidden="1" customHeight="1" x14ac:dyDescent="0.25"/>
    <row r="56" spans="2:19" ht="15" customHeight="1" x14ac:dyDescent="0.25">
      <c r="E56" s="21"/>
      <c r="F56" s="105"/>
      <c r="G56" s="105"/>
      <c r="H56" s="105"/>
      <c r="I56" s="105"/>
      <c r="J56" s="105"/>
      <c r="K56" s="105"/>
    </row>
    <row r="59" spans="2:19" ht="15" customHeight="1" x14ac:dyDescent="0.25"/>
  </sheetData>
  <mergeCells count="7">
    <mergeCell ref="B35:H35"/>
    <mergeCell ref="B24:F24"/>
    <mergeCell ref="Q2:S2"/>
    <mergeCell ref="Q1:S1"/>
    <mergeCell ref="B19:F19"/>
    <mergeCell ref="B21:F21"/>
    <mergeCell ref="B23:F23"/>
  </mergeCells>
  <hyperlinks>
    <hyperlink ref="B24" r:id="rId1"/>
  </hyperlinks>
  <printOptions horizontalCentered="1" gridLines="1"/>
  <pageMargins left="0" right="0" top="0.75" bottom="0.75" header="0.3" footer="0.3"/>
  <pageSetup scale="52" orientation="landscape" horizontalDpi="1200" verticalDpi="1200"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0"/>
  <sheetViews>
    <sheetView topLeftCell="E28" zoomScale="120" zoomScaleNormal="120" workbookViewId="0">
      <selection activeCell="S50" sqref="S50"/>
    </sheetView>
  </sheetViews>
  <sheetFormatPr defaultColWidth="9.140625" defaultRowHeight="15" x14ac:dyDescent="0.25"/>
  <cols>
    <col min="1" max="1" width="9.140625" style="2" hidden="1" customWidth="1"/>
    <col min="2" max="2" width="58.85546875" style="2" customWidth="1"/>
    <col min="3" max="3" width="24.42578125" style="2" bestFit="1" customWidth="1"/>
    <col min="4" max="4" width="13.7109375" style="2" customWidth="1"/>
    <col min="5" max="5" width="18" style="2" customWidth="1"/>
    <col min="6" max="6" width="21.42578125" style="2" customWidth="1"/>
    <col min="7" max="7" width="11.85546875" style="2" customWidth="1"/>
    <col min="8" max="8" width="15.28515625" style="2" customWidth="1"/>
    <col min="9" max="9" width="14" style="2" customWidth="1"/>
    <col min="10" max="10" width="15.5703125" style="2" customWidth="1"/>
    <col min="11" max="11" width="8" style="2" customWidth="1"/>
    <col min="12" max="12" width="18.8554687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5" style="2" customWidth="1"/>
    <col min="20" max="16384" width="9.140625" style="2"/>
  </cols>
  <sheetData>
    <row r="1" spans="1:20" ht="15.6" customHeight="1" x14ac:dyDescent="0.25">
      <c r="A1" s="2" t="s">
        <v>342</v>
      </c>
      <c r="B1" s="1" t="s">
        <v>81</v>
      </c>
      <c r="Q1" s="335" t="s">
        <v>230</v>
      </c>
      <c r="R1" s="335"/>
      <c r="S1" s="335"/>
    </row>
    <row r="2" spans="1:20" x14ac:dyDescent="0.25">
      <c r="B2" s="90" t="s">
        <v>148</v>
      </c>
      <c r="C2" s="187">
        <v>44377</v>
      </c>
      <c r="M2" s="73"/>
      <c r="N2" s="73"/>
      <c r="P2" s="29"/>
      <c r="Q2" s="334" t="s">
        <v>338</v>
      </c>
      <c r="R2" s="334"/>
      <c r="S2" s="334"/>
    </row>
    <row r="3" spans="1:20" ht="15.75" thickBot="1" x14ac:dyDescent="0.3">
      <c r="A3" s="2" t="s">
        <v>16</v>
      </c>
      <c r="B3" s="44" t="s">
        <v>82</v>
      </c>
      <c r="C3" s="8"/>
      <c r="D3" s="8"/>
      <c r="E3" s="8"/>
      <c r="P3" s="29"/>
      <c r="Q3" s="45"/>
      <c r="R3" s="30"/>
    </row>
    <row r="4" spans="1:20" x14ac:dyDescent="0.25">
      <c r="B4" s="8" t="s">
        <v>174</v>
      </c>
      <c r="M4" s="87" t="s">
        <v>28</v>
      </c>
      <c r="N4" s="87" t="s">
        <v>28</v>
      </c>
      <c r="O4" s="87" t="s">
        <v>28</v>
      </c>
      <c r="P4" s="9"/>
      <c r="Q4" s="91" t="s">
        <v>29</v>
      </c>
      <c r="R4" s="91" t="s">
        <v>31</v>
      </c>
      <c r="S4" s="91" t="s">
        <v>23</v>
      </c>
      <c r="T4" s="7"/>
    </row>
    <row r="5" spans="1:20" ht="15.75" thickBot="1" x14ac:dyDescent="0.3">
      <c r="G5" s="188" t="s">
        <v>231</v>
      </c>
      <c r="H5" s="188" t="s">
        <v>231</v>
      </c>
      <c r="M5" s="88" t="s">
        <v>27</v>
      </c>
      <c r="N5" s="88" t="s">
        <v>26</v>
      </c>
      <c r="O5" s="88" t="s">
        <v>25</v>
      </c>
      <c r="P5" s="9"/>
      <c r="Q5" s="92" t="s">
        <v>30</v>
      </c>
      <c r="R5" s="92" t="s">
        <v>30</v>
      </c>
      <c r="S5" s="92" t="s">
        <v>30</v>
      </c>
      <c r="T5" s="7"/>
    </row>
    <row r="6" spans="1:20" ht="85.5" customHeight="1" thickBot="1" x14ac:dyDescent="0.3">
      <c r="B6" s="86" t="s">
        <v>1</v>
      </c>
      <c r="C6" s="86" t="s">
        <v>127</v>
      </c>
      <c r="D6" s="86" t="s">
        <v>107</v>
      </c>
      <c r="E6" s="86" t="s">
        <v>3</v>
      </c>
      <c r="F6" s="86" t="s">
        <v>4</v>
      </c>
      <c r="G6" s="110" t="s">
        <v>136</v>
      </c>
      <c r="H6" s="110" t="s">
        <v>137</v>
      </c>
      <c r="I6" s="110" t="s">
        <v>133</v>
      </c>
      <c r="J6" s="110" t="s">
        <v>134</v>
      </c>
      <c r="K6" s="110" t="s">
        <v>121</v>
      </c>
      <c r="L6" s="85" t="s">
        <v>5</v>
      </c>
      <c r="M6" s="89" t="s">
        <v>6</v>
      </c>
      <c r="N6" s="89" t="s">
        <v>6</v>
      </c>
      <c r="O6" s="89" t="s">
        <v>6</v>
      </c>
      <c r="P6" s="9"/>
      <c r="Q6" s="93"/>
      <c r="R6" s="99" t="s">
        <v>32</v>
      </c>
      <c r="S6" s="100" t="s">
        <v>33</v>
      </c>
    </row>
    <row r="7" spans="1:20" ht="32.25" customHeight="1" x14ac:dyDescent="0.25">
      <c r="B7" s="2" t="s">
        <v>128</v>
      </c>
      <c r="C7" s="243" t="s">
        <v>122</v>
      </c>
      <c r="D7" s="95" t="s">
        <v>248</v>
      </c>
      <c r="E7" s="2" t="s">
        <v>233</v>
      </c>
      <c r="F7" s="2" t="s">
        <v>7</v>
      </c>
      <c r="G7" s="191">
        <v>2.9600000000000001E-2</v>
      </c>
      <c r="H7" s="191">
        <v>0.1744</v>
      </c>
      <c r="I7" s="192">
        <v>44377</v>
      </c>
      <c r="J7" s="192">
        <v>44378</v>
      </c>
      <c r="K7" s="192">
        <v>44013</v>
      </c>
      <c r="L7" s="193" t="s">
        <v>234</v>
      </c>
      <c r="M7" s="69">
        <v>10406.25</v>
      </c>
      <c r="N7" s="69"/>
      <c r="O7" s="69">
        <f>M7+N7</f>
        <v>10406.25</v>
      </c>
      <c r="P7" s="29"/>
      <c r="Q7" s="69">
        <f>10406.25+5040.3</f>
        <v>15446.55</v>
      </c>
      <c r="R7" s="69"/>
      <c r="S7" s="70">
        <f>SUM(Q7:R7)</f>
        <v>15446.55</v>
      </c>
    </row>
    <row r="8" spans="1:20" ht="32.25" customHeight="1" x14ac:dyDescent="0.25">
      <c r="B8" s="2" t="s">
        <v>241</v>
      </c>
      <c r="C8" s="243" t="s">
        <v>242</v>
      </c>
      <c r="D8" s="95" t="s">
        <v>243</v>
      </c>
      <c r="E8" s="2" t="s">
        <v>244</v>
      </c>
      <c r="F8" s="2" t="s">
        <v>7</v>
      </c>
      <c r="G8" s="191">
        <v>2.9600000000000001E-2</v>
      </c>
      <c r="H8" s="191">
        <v>0.1744</v>
      </c>
      <c r="I8" s="192">
        <v>44834</v>
      </c>
      <c r="J8" s="192">
        <v>44849</v>
      </c>
      <c r="K8" s="192">
        <v>43614</v>
      </c>
      <c r="L8" s="193" t="s">
        <v>311</v>
      </c>
      <c r="M8" s="67">
        <v>67790.960000000006</v>
      </c>
      <c r="N8" s="69"/>
      <c r="O8" s="69">
        <f>M8+N8</f>
        <v>67790.960000000006</v>
      </c>
      <c r="P8" s="69"/>
      <c r="Q8" s="69"/>
      <c r="R8" s="69"/>
      <c r="S8" s="70">
        <f>SUM(Q8:R8)</f>
        <v>0</v>
      </c>
    </row>
    <row r="9" spans="1:20" ht="27" customHeight="1" x14ac:dyDescent="0.25">
      <c r="B9" s="2" t="s">
        <v>283</v>
      </c>
      <c r="C9" s="243" t="s">
        <v>264</v>
      </c>
      <c r="D9" s="95" t="s">
        <v>254</v>
      </c>
      <c r="E9" s="2" t="s">
        <v>284</v>
      </c>
      <c r="F9" s="2" t="s">
        <v>7</v>
      </c>
      <c r="G9" s="191">
        <f t="shared" ref="G9:H9" si="0">+G8</f>
        <v>2.9600000000000001E-2</v>
      </c>
      <c r="H9" s="191">
        <f t="shared" si="0"/>
        <v>0.1744</v>
      </c>
      <c r="I9" s="192">
        <v>44377</v>
      </c>
      <c r="J9" s="192">
        <v>44392</v>
      </c>
      <c r="K9" s="192">
        <v>43613</v>
      </c>
      <c r="L9" s="193" t="s">
        <v>234</v>
      </c>
      <c r="M9" s="81">
        <v>7302.48</v>
      </c>
      <c r="N9" s="69"/>
      <c r="O9" s="69">
        <f>M9+N9</f>
        <v>7302.48</v>
      </c>
      <c r="P9" s="69"/>
      <c r="Q9" s="69"/>
      <c r="R9" s="69"/>
      <c r="S9" s="70">
        <f>Q9+R9</f>
        <v>0</v>
      </c>
    </row>
    <row r="10" spans="1:20" ht="27" customHeight="1" x14ac:dyDescent="0.25">
      <c r="B10" s="2" t="s">
        <v>314</v>
      </c>
      <c r="C10" s="243" t="s">
        <v>242</v>
      </c>
      <c r="D10" s="95" t="s">
        <v>243</v>
      </c>
      <c r="E10" s="2" t="s">
        <v>315</v>
      </c>
      <c r="F10" s="2" t="s">
        <v>7</v>
      </c>
      <c r="G10" s="313">
        <f>+G8</f>
        <v>2.9600000000000001E-2</v>
      </c>
      <c r="H10" s="313">
        <f>+H8</f>
        <v>0.1744</v>
      </c>
      <c r="I10" s="312">
        <v>44773</v>
      </c>
      <c r="J10" s="312">
        <v>44788</v>
      </c>
      <c r="K10" s="192">
        <v>43980</v>
      </c>
      <c r="L10" s="193" t="s">
        <v>316</v>
      </c>
      <c r="M10" s="81">
        <v>4618.8999999999996</v>
      </c>
      <c r="N10" s="72"/>
      <c r="O10" s="69">
        <f>M10+N10</f>
        <v>4618.8999999999996</v>
      </c>
      <c r="P10" s="69"/>
      <c r="Q10" s="69">
        <v>2686</v>
      </c>
      <c r="R10" s="69"/>
      <c r="S10" s="70">
        <f>Q10+R10</f>
        <v>2686</v>
      </c>
    </row>
    <row r="11" spans="1:20" ht="27" customHeight="1" x14ac:dyDescent="0.25">
      <c r="B11" s="2" t="s">
        <v>318</v>
      </c>
      <c r="C11" s="243" t="s">
        <v>242</v>
      </c>
      <c r="D11" s="95" t="s">
        <v>243</v>
      </c>
      <c r="E11" s="2" t="s">
        <v>319</v>
      </c>
      <c r="F11" s="2" t="s">
        <v>7</v>
      </c>
      <c r="G11" s="191">
        <v>2.9600000000000001E-2</v>
      </c>
      <c r="H11" s="191">
        <v>0.1744</v>
      </c>
      <c r="I11" s="192">
        <v>44561</v>
      </c>
      <c r="J11" s="192">
        <v>44576</v>
      </c>
      <c r="K11" s="192">
        <v>43980</v>
      </c>
      <c r="L11" s="193" t="s">
        <v>320</v>
      </c>
      <c r="M11" s="81">
        <v>3000</v>
      </c>
      <c r="N11" s="69"/>
      <c r="O11" s="69">
        <f t="shared" ref="O11:O13" si="1">M11+N11</f>
        <v>3000</v>
      </c>
      <c r="P11" s="68"/>
      <c r="Q11" s="69"/>
      <c r="R11" s="69"/>
      <c r="S11" s="70">
        <f t="shared" ref="S11:S13" si="2">Q11+R11</f>
        <v>0</v>
      </c>
    </row>
    <row r="12" spans="1:20" ht="27" customHeight="1" x14ac:dyDescent="0.25">
      <c r="B12" s="2" t="s">
        <v>321</v>
      </c>
      <c r="C12" s="243" t="s">
        <v>264</v>
      </c>
      <c r="D12" s="95" t="s">
        <v>254</v>
      </c>
      <c r="E12" s="2" t="s">
        <v>322</v>
      </c>
      <c r="F12" s="2" t="s">
        <v>7</v>
      </c>
      <c r="G12" s="191">
        <v>2.9600000000000001E-2</v>
      </c>
      <c r="H12" s="191">
        <v>0.1744</v>
      </c>
      <c r="I12" s="192">
        <v>44742</v>
      </c>
      <c r="J12" s="192">
        <v>44757</v>
      </c>
      <c r="K12" s="192">
        <v>43979</v>
      </c>
      <c r="L12" s="193" t="s">
        <v>323</v>
      </c>
      <c r="M12" s="81">
        <v>1027</v>
      </c>
      <c r="N12" s="69"/>
      <c r="O12" s="69">
        <f t="shared" si="1"/>
        <v>1027</v>
      </c>
      <c r="P12" s="68"/>
      <c r="Q12" s="69"/>
      <c r="R12" s="69"/>
      <c r="S12" s="70">
        <f t="shared" si="2"/>
        <v>0</v>
      </c>
    </row>
    <row r="13" spans="1:20" ht="27" customHeight="1" x14ac:dyDescent="0.25">
      <c r="B13" s="2" t="s">
        <v>327</v>
      </c>
      <c r="C13" s="243" t="s">
        <v>242</v>
      </c>
      <c r="D13" s="95" t="s">
        <v>328</v>
      </c>
      <c r="E13" s="2" t="s">
        <v>329</v>
      </c>
      <c r="F13" s="2" t="s">
        <v>7</v>
      </c>
      <c r="G13" s="191">
        <v>2.9600000000000001E-2</v>
      </c>
      <c r="H13" s="191">
        <v>0.1744</v>
      </c>
      <c r="I13" s="192">
        <v>44440</v>
      </c>
      <c r="J13" s="192">
        <v>44440</v>
      </c>
      <c r="K13" s="192">
        <v>44201</v>
      </c>
      <c r="L13" s="193" t="s">
        <v>330</v>
      </c>
      <c r="M13" s="81">
        <v>142669.29</v>
      </c>
      <c r="N13" s="69"/>
      <c r="O13" s="69">
        <f t="shared" si="1"/>
        <v>142669.29</v>
      </c>
      <c r="P13" s="68"/>
      <c r="Q13" s="69"/>
      <c r="R13" s="69"/>
      <c r="S13" s="70">
        <f t="shared" si="2"/>
        <v>0</v>
      </c>
    </row>
    <row r="14" spans="1:20" x14ac:dyDescent="0.25">
      <c r="C14" s="95"/>
      <c r="D14" s="95"/>
      <c r="G14" s="191"/>
      <c r="H14" s="191"/>
      <c r="I14" s="192"/>
      <c r="J14" s="192"/>
      <c r="K14" s="192"/>
      <c r="L14" s="193"/>
      <c r="M14" s="25"/>
      <c r="N14" s="25"/>
      <c r="O14" s="25"/>
      <c r="P14" s="29"/>
      <c r="Q14" s="25"/>
      <c r="R14" s="25"/>
      <c r="S14" s="26"/>
    </row>
    <row r="15" spans="1:20" ht="23.25" customHeight="1" x14ac:dyDescent="0.25">
      <c r="C15" s="94"/>
      <c r="D15" s="94"/>
      <c r="G15" s="207"/>
      <c r="H15" s="191"/>
      <c r="I15" s="192"/>
      <c r="J15" s="192"/>
      <c r="K15" s="192"/>
      <c r="L15" s="210" t="s">
        <v>38</v>
      </c>
      <c r="M15" s="68">
        <f>SUM(M7:M14)</f>
        <v>236814.88</v>
      </c>
      <c r="N15" s="68">
        <f>SUM(N7:N14)</f>
        <v>0</v>
      </c>
      <c r="O15" s="68">
        <f>SUM(O7:O14)</f>
        <v>236814.88</v>
      </c>
      <c r="Q15" s="68">
        <f>SUM(Q7:Q14)</f>
        <v>18132.55</v>
      </c>
      <c r="R15" s="68">
        <f>SUM(R7:R14)</f>
        <v>0</v>
      </c>
      <c r="S15" s="70">
        <f>SUM(S7:S14)</f>
        <v>18132.55</v>
      </c>
    </row>
    <row r="16" spans="1:20" x14ac:dyDescent="0.25">
      <c r="C16" s="94"/>
      <c r="D16" s="94"/>
      <c r="I16" s="119"/>
      <c r="J16" s="119"/>
      <c r="K16" s="119"/>
      <c r="L16" s="5"/>
      <c r="M16" s="68"/>
      <c r="N16" s="68"/>
      <c r="O16" s="68"/>
      <c r="Q16" s="68"/>
      <c r="R16" s="68"/>
      <c r="S16" s="70"/>
    </row>
    <row r="17" spans="2:19" x14ac:dyDescent="0.25">
      <c r="C17" s="94"/>
      <c r="D17" s="94"/>
      <c r="L17" s="5"/>
      <c r="M17" s="68"/>
      <c r="N17" s="68"/>
      <c r="O17" s="68"/>
      <c r="Q17" s="68"/>
      <c r="R17" s="68"/>
      <c r="S17" s="70"/>
    </row>
    <row r="18" spans="2:19" x14ac:dyDescent="0.25">
      <c r="C18" s="94"/>
      <c r="D18" s="94"/>
      <c r="L18" s="5"/>
      <c r="M18" s="68"/>
      <c r="N18" s="68"/>
      <c r="O18" s="68"/>
      <c r="Q18" s="68"/>
      <c r="R18" s="68"/>
      <c r="S18" s="70"/>
    </row>
    <row r="19" spans="2:19" x14ac:dyDescent="0.25">
      <c r="B19" s="8" t="s">
        <v>125</v>
      </c>
      <c r="C19" s="94"/>
      <c r="D19" s="94"/>
      <c r="L19" s="5"/>
      <c r="M19" s="68"/>
      <c r="N19" s="68"/>
      <c r="O19" s="68"/>
      <c r="Q19" s="68"/>
      <c r="R19" s="68"/>
      <c r="S19" s="70"/>
    </row>
    <row r="20" spans="2:19" ht="31.5" customHeight="1" x14ac:dyDescent="0.25">
      <c r="B20" s="338" t="s">
        <v>126</v>
      </c>
      <c r="C20" s="338"/>
      <c r="D20" s="338"/>
      <c r="E20" s="338"/>
      <c r="F20" s="338"/>
      <c r="G20" s="120"/>
      <c r="H20" s="120"/>
      <c r="I20" s="114"/>
      <c r="L20" s="5"/>
      <c r="M20" s="68"/>
      <c r="N20" s="68"/>
      <c r="O20" s="68"/>
      <c r="Q20" s="68"/>
      <c r="R20" s="68"/>
      <c r="S20" s="70"/>
    </row>
    <row r="21" spans="2:19" x14ac:dyDescent="0.25">
      <c r="C21" s="94"/>
      <c r="D21" s="94"/>
      <c r="L21" s="5"/>
      <c r="M21" s="68"/>
      <c r="N21" s="68"/>
      <c r="O21" s="68"/>
      <c r="Q21" s="68"/>
      <c r="R21" s="68"/>
      <c r="S21" s="70"/>
    </row>
    <row r="22" spans="2:19" ht="47.25" customHeight="1" x14ac:dyDescent="0.25">
      <c r="B22" s="338" t="s">
        <v>129</v>
      </c>
      <c r="C22" s="338"/>
      <c r="D22" s="338"/>
      <c r="E22" s="338"/>
      <c r="F22" s="338"/>
      <c r="G22" s="120"/>
      <c r="H22" s="120"/>
      <c r="I22" s="114"/>
      <c r="L22" s="5"/>
      <c r="M22" s="68"/>
      <c r="N22" s="68"/>
      <c r="O22" s="68"/>
      <c r="Q22" s="68"/>
      <c r="R22" s="68"/>
      <c r="S22" s="70"/>
    </row>
    <row r="23" spans="2:19" x14ac:dyDescent="0.25">
      <c r="B23" s="111"/>
      <c r="C23" s="111"/>
      <c r="D23" s="111"/>
      <c r="E23" s="111"/>
      <c r="F23" s="111"/>
      <c r="G23" s="120"/>
      <c r="H23" s="120"/>
      <c r="I23" s="114"/>
      <c r="L23" s="5"/>
      <c r="M23" s="68"/>
      <c r="N23" s="68"/>
      <c r="O23" s="68"/>
      <c r="Q23" s="68"/>
      <c r="R23" s="68"/>
      <c r="S23" s="70"/>
    </row>
    <row r="24" spans="2:19" ht="30" customHeight="1" x14ac:dyDescent="0.25">
      <c r="B24" s="338" t="s">
        <v>160</v>
      </c>
      <c r="C24" s="338"/>
      <c r="D24" s="338"/>
      <c r="E24" s="338"/>
      <c r="F24" s="338"/>
      <c r="G24" s="198"/>
      <c r="H24" s="198"/>
      <c r="I24" s="198"/>
      <c r="L24" s="5"/>
      <c r="M24" s="68"/>
      <c r="N24" s="68"/>
      <c r="O24" s="68"/>
      <c r="Q24" s="68"/>
      <c r="R24" s="68"/>
      <c r="S24" s="70"/>
    </row>
    <row r="25" spans="2:19" ht="15" customHeight="1" x14ac:dyDescent="0.25">
      <c r="B25" s="346" t="s">
        <v>159</v>
      </c>
      <c r="C25" s="338"/>
      <c r="D25" s="338"/>
      <c r="E25" s="338"/>
      <c r="F25" s="338"/>
      <c r="G25" s="198"/>
      <c r="H25" s="198"/>
      <c r="I25" s="198"/>
      <c r="L25" s="5"/>
      <c r="M25" s="68"/>
      <c r="N25" s="68"/>
      <c r="O25" s="68"/>
      <c r="Q25" s="68"/>
      <c r="R25" s="68"/>
      <c r="S25" s="70"/>
    </row>
    <row r="26" spans="2:19" ht="15" customHeight="1" x14ac:dyDescent="0.25">
      <c r="B26" s="200"/>
      <c r="C26" s="200"/>
      <c r="D26" s="200"/>
      <c r="E26" s="200"/>
      <c r="F26" s="200"/>
      <c r="G26" s="200"/>
      <c r="H26" s="200"/>
      <c r="I26" s="200"/>
      <c r="L26" s="5"/>
      <c r="M26" s="68"/>
      <c r="N26" s="68"/>
      <c r="O26" s="68"/>
      <c r="Q26" s="68"/>
      <c r="R26" s="68"/>
      <c r="S26" s="70"/>
    </row>
    <row r="27" spans="2:19" x14ac:dyDescent="0.25">
      <c r="B27" s="7" t="s">
        <v>109</v>
      </c>
      <c r="C27" s="104" t="s">
        <v>112</v>
      </c>
      <c r="D27" s="104" t="s">
        <v>113</v>
      </c>
      <c r="E27" s="111"/>
      <c r="F27" s="111"/>
      <c r="G27" s="120"/>
      <c r="H27" s="120"/>
      <c r="I27" s="114"/>
      <c r="L27" s="5"/>
      <c r="M27" s="68"/>
      <c r="N27" s="68"/>
      <c r="O27" s="68"/>
      <c r="Q27" s="68"/>
      <c r="R27" s="68"/>
      <c r="S27" s="70"/>
    </row>
    <row r="28" spans="2:19" x14ac:dyDescent="0.25">
      <c r="B28" s="19" t="s">
        <v>111</v>
      </c>
      <c r="C28" s="94" t="s">
        <v>114</v>
      </c>
      <c r="D28" s="94" t="s">
        <v>119</v>
      </c>
      <c r="L28" s="5"/>
      <c r="M28" s="68"/>
      <c r="N28" s="68"/>
      <c r="O28" s="68"/>
      <c r="Q28" s="68"/>
      <c r="R28" s="68"/>
      <c r="S28" s="70"/>
    </row>
    <row r="29" spans="2:19" x14ac:dyDescent="0.25">
      <c r="B29" s="2" t="s">
        <v>252</v>
      </c>
      <c r="C29" s="94" t="s">
        <v>135</v>
      </c>
      <c r="D29" s="94" t="s">
        <v>147</v>
      </c>
      <c r="L29" s="5"/>
      <c r="M29" s="68"/>
      <c r="N29" s="68"/>
      <c r="O29" s="68"/>
      <c r="Q29" s="68"/>
      <c r="R29" s="68"/>
      <c r="S29" s="70"/>
    </row>
    <row r="30" spans="2:19" x14ac:dyDescent="0.25">
      <c r="B30" s="2" t="s">
        <v>260</v>
      </c>
      <c r="C30" s="94" t="s">
        <v>135</v>
      </c>
      <c r="D30" s="94" t="s">
        <v>147</v>
      </c>
      <c r="L30" s="5"/>
      <c r="M30" s="68"/>
      <c r="N30" s="68"/>
      <c r="O30" s="68"/>
      <c r="Q30" s="68"/>
      <c r="R30" s="68"/>
      <c r="S30" s="70"/>
    </row>
    <row r="31" spans="2:19" x14ac:dyDescent="0.25">
      <c r="B31" s="2" t="s">
        <v>314</v>
      </c>
      <c r="C31" s="94" t="s">
        <v>135</v>
      </c>
      <c r="D31" s="94" t="s">
        <v>147</v>
      </c>
      <c r="L31" s="5"/>
      <c r="M31" s="68"/>
      <c r="N31" s="68"/>
      <c r="O31" s="68"/>
      <c r="Q31" s="68"/>
      <c r="R31" s="68"/>
      <c r="S31" s="70"/>
    </row>
    <row r="32" spans="2:19" x14ac:dyDescent="0.25">
      <c r="B32" s="2" t="s">
        <v>318</v>
      </c>
      <c r="C32" s="94" t="s">
        <v>135</v>
      </c>
      <c r="D32" s="94" t="s">
        <v>147</v>
      </c>
      <c r="L32" s="5"/>
      <c r="M32" s="68"/>
      <c r="N32" s="68"/>
      <c r="O32" s="68"/>
      <c r="Q32" s="68"/>
      <c r="R32" s="68"/>
      <c r="S32" s="70"/>
    </row>
    <row r="33" spans="2:20" x14ac:dyDescent="0.25">
      <c r="B33" s="2" t="s">
        <v>321</v>
      </c>
      <c r="C33" s="94" t="s">
        <v>135</v>
      </c>
      <c r="D33" s="94" t="s">
        <v>147</v>
      </c>
      <c r="L33" s="5"/>
      <c r="M33" s="68"/>
      <c r="N33" s="68"/>
      <c r="O33" s="68"/>
      <c r="Q33" s="68"/>
      <c r="R33" s="68"/>
      <c r="S33" s="70"/>
    </row>
    <row r="34" spans="2:20" x14ac:dyDescent="0.25">
      <c r="B34" s="2" t="s">
        <v>326</v>
      </c>
      <c r="C34" s="94" t="s">
        <v>135</v>
      </c>
      <c r="D34" s="94" t="s">
        <v>147</v>
      </c>
      <c r="L34" s="5"/>
      <c r="M34" s="68"/>
      <c r="N34" s="68"/>
      <c r="O34" s="68"/>
      <c r="Q34" s="68"/>
      <c r="R34" s="68"/>
      <c r="S34" s="70"/>
    </row>
    <row r="35" spans="2:20" x14ac:dyDescent="0.25">
      <c r="C35" s="94"/>
      <c r="D35" s="94"/>
      <c r="L35" s="5"/>
      <c r="M35" s="68"/>
      <c r="N35" s="68"/>
      <c r="O35" s="68"/>
      <c r="Q35" s="68"/>
      <c r="R35" s="68"/>
      <c r="S35" s="70"/>
    </row>
    <row r="36" spans="2:20" x14ac:dyDescent="0.25">
      <c r="B36" s="347" t="s">
        <v>235</v>
      </c>
      <c r="C36" s="333"/>
      <c r="D36" s="333"/>
      <c r="E36" s="333"/>
      <c r="F36" s="333"/>
      <c r="G36" s="333"/>
      <c r="H36" s="333"/>
      <c r="L36" s="5"/>
      <c r="M36" s="68"/>
      <c r="N36" s="68"/>
      <c r="O36" s="68"/>
      <c r="Q36" s="68"/>
      <c r="R36" s="68"/>
      <c r="S36" s="70"/>
    </row>
    <row r="37" spans="2:20" x14ac:dyDescent="0.25">
      <c r="B37" s="278" t="s">
        <v>236</v>
      </c>
      <c r="C37" s="94"/>
      <c r="D37" s="94"/>
      <c r="L37" s="5"/>
      <c r="M37" s="68"/>
      <c r="N37" s="68"/>
      <c r="O37" s="68"/>
      <c r="Q37" s="68"/>
      <c r="R37" s="68"/>
      <c r="S37" s="70"/>
    </row>
    <row r="38" spans="2:20" x14ac:dyDescent="0.25">
      <c r="B38" s="197"/>
      <c r="C38" s="94"/>
      <c r="D38" s="94"/>
      <c r="L38" s="5"/>
      <c r="M38" s="68"/>
      <c r="N38" s="68"/>
      <c r="O38" s="68"/>
      <c r="Q38" s="68"/>
      <c r="R38" s="68"/>
      <c r="S38" s="70"/>
    </row>
    <row r="39" spans="2:20" x14ac:dyDescent="0.25">
      <c r="B39" s="112"/>
      <c r="C39" s="112"/>
      <c r="D39" s="112"/>
      <c r="E39" s="112"/>
      <c r="F39" s="112"/>
      <c r="G39" s="112"/>
      <c r="H39" s="112"/>
      <c r="I39" s="112"/>
      <c r="J39" s="112"/>
      <c r="K39" s="112"/>
      <c r="L39" s="112"/>
      <c r="M39" s="112"/>
      <c r="N39" s="112"/>
      <c r="O39" s="112"/>
      <c r="P39" s="112"/>
      <c r="Q39" s="171" t="s">
        <v>90</v>
      </c>
      <c r="R39" s="168"/>
      <c r="S39" s="169"/>
    </row>
    <row r="40" spans="2:20" x14ac:dyDescent="0.25">
      <c r="B40" s="17" t="s">
        <v>39</v>
      </c>
      <c r="C40" s="162" t="s">
        <v>2</v>
      </c>
      <c r="D40" s="162"/>
      <c r="E40" s="162" t="s">
        <v>34</v>
      </c>
      <c r="F40" s="162" t="s">
        <v>35</v>
      </c>
      <c r="G40" s="162"/>
      <c r="H40" s="162"/>
      <c r="I40" s="162"/>
      <c r="J40" s="162"/>
      <c r="K40" s="162"/>
      <c r="L40" s="162" t="s">
        <v>36</v>
      </c>
      <c r="M40" s="162" t="s">
        <v>37</v>
      </c>
      <c r="N40" s="47"/>
      <c r="O40" s="47"/>
      <c r="P40" s="47"/>
      <c r="Q40" s="54" t="s">
        <v>88</v>
      </c>
      <c r="R40" s="52"/>
      <c r="S40" s="53"/>
      <c r="T40" s="51"/>
    </row>
    <row r="41" spans="2:20" x14ac:dyDescent="0.25">
      <c r="B41" s="65"/>
      <c r="C41" s="9"/>
      <c r="D41" s="9"/>
      <c r="E41" s="9"/>
      <c r="F41" s="9"/>
      <c r="G41" s="9"/>
      <c r="H41" s="9"/>
      <c r="I41" s="9"/>
      <c r="J41" s="9"/>
      <c r="K41" s="9"/>
      <c r="L41" s="9"/>
      <c r="M41" s="9"/>
      <c r="N41" s="45"/>
      <c r="O41" s="45"/>
      <c r="P41" s="45"/>
      <c r="Q41" s="59"/>
      <c r="R41" s="50"/>
      <c r="S41" s="50"/>
      <c r="T41" s="51"/>
    </row>
    <row r="42" spans="2:20" x14ac:dyDescent="0.25">
      <c r="B42" s="65"/>
      <c r="C42" s="9"/>
      <c r="D42" s="9"/>
      <c r="E42" s="9"/>
      <c r="F42" s="9"/>
      <c r="G42" s="9"/>
      <c r="H42" s="9"/>
      <c r="I42" s="9"/>
      <c r="J42" s="9"/>
      <c r="K42" s="9"/>
      <c r="L42" s="9"/>
      <c r="M42" s="9"/>
      <c r="N42" s="45"/>
      <c r="O42" s="45"/>
      <c r="P42" s="45"/>
      <c r="R42" s="51"/>
      <c r="S42" s="51"/>
      <c r="T42" s="51"/>
    </row>
    <row r="43" spans="2:20" x14ac:dyDescent="0.25">
      <c r="B43" s="12"/>
      <c r="C43" s="13"/>
      <c r="D43" s="13"/>
      <c r="E43" s="41"/>
      <c r="F43" s="15"/>
      <c r="G43" s="15"/>
      <c r="H43" s="15"/>
      <c r="I43" s="15"/>
      <c r="J43" s="15"/>
      <c r="K43" s="15"/>
      <c r="L43" s="16"/>
      <c r="M43" s="20"/>
      <c r="N43" s="18"/>
      <c r="O43" s="18"/>
      <c r="P43" s="18"/>
      <c r="T43" s="51"/>
    </row>
    <row r="44" spans="2:20" ht="15" customHeight="1" x14ac:dyDescent="0.25">
      <c r="B44" s="12"/>
      <c r="C44" s="13"/>
      <c r="D44" s="13"/>
      <c r="E44" s="41"/>
      <c r="F44" s="15"/>
      <c r="G44" s="15"/>
      <c r="H44" s="15"/>
      <c r="I44" s="15"/>
      <c r="J44" s="15"/>
      <c r="K44" s="15"/>
      <c r="L44" s="16"/>
      <c r="M44" s="20"/>
      <c r="N44" s="18"/>
      <c r="O44" s="18"/>
      <c r="P44" s="18"/>
    </row>
    <row r="45" spans="2:20" ht="15" customHeight="1" x14ac:dyDescent="0.25">
      <c r="B45" s="12"/>
      <c r="C45" s="13"/>
      <c r="D45" s="13"/>
      <c r="E45" s="41"/>
      <c r="F45" s="15"/>
      <c r="G45" s="15"/>
      <c r="H45" s="15"/>
      <c r="I45" s="15"/>
      <c r="J45" s="15"/>
      <c r="K45" s="15"/>
      <c r="L45" s="16"/>
      <c r="M45" s="20"/>
      <c r="N45" s="18"/>
      <c r="O45" s="18"/>
      <c r="P45" s="18"/>
    </row>
    <row r="46" spans="2:20" ht="15" customHeight="1" x14ac:dyDescent="0.25">
      <c r="B46" s="12"/>
      <c r="C46" s="13"/>
      <c r="D46" s="13"/>
      <c r="E46" s="41"/>
      <c r="F46" s="15"/>
      <c r="G46" s="15"/>
      <c r="H46" s="15"/>
      <c r="I46" s="15"/>
      <c r="J46" s="15"/>
      <c r="K46" s="15"/>
      <c r="L46" s="16"/>
      <c r="M46" s="20"/>
      <c r="N46" s="18"/>
      <c r="O46" s="18"/>
      <c r="P46" s="18"/>
    </row>
    <row r="47" spans="2:20" ht="15" customHeight="1" x14ac:dyDescent="0.25">
      <c r="B47" s="12"/>
      <c r="C47" s="13"/>
      <c r="D47" s="13"/>
      <c r="E47" s="41"/>
      <c r="F47" s="15"/>
      <c r="G47" s="15"/>
      <c r="H47" s="15"/>
      <c r="I47" s="15"/>
      <c r="J47" s="15"/>
      <c r="K47" s="15"/>
      <c r="L47" s="16"/>
      <c r="M47" s="20"/>
      <c r="N47" s="18"/>
      <c r="O47" s="18"/>
      <c r="P47" s="18"/>
    </row>
    <row r="48" spans="2:20" x14ac:dyDescent="0.25">
      <c r="B48" s="36"/>
      <c r="C48" s="40"/>
      <c r="D48" s="40"/>
      <c r="E48" s="41"/>
      <c r="F48" s="38"/>
      <c r="G48" s="38"/>
      <c r="H48" s="38"/>
      <c r="I48" s="38"/>
      <c r="J48" s="38"/>
      <c r="K48" s="38"/>
      <c r="L48" s="39"/>
      <c r="M48" s="34"/>
      <c r="N48" s="107"/>
      <c r="O48" s="29"/>
      <c r="P48" s="29"/>
    </row>
    <row r="49" spans="2:19" x14ac:dyDescent="0.25">
      <c r="C49" s="40"/>
      <c r="D49" s="40"/>
      <c r="E49" s="41"/>
      <c r="F49" s="71"/>
      <c r="G49" s="71"/>
      <c r="H49" s="71"/>
      <c r="I49" s="71"/>
      <c r="J49" s="71"/>
      <c r="K49" s="71"/>
      <c r="L49" s="33"/>
      <c r="M49" s="31"/>
      <c r="N49" s="107"/>
    </row>
    <row r="50" spans="2:19" x14ac:dyDescent="0.25">
      <c r="C50" s="40"/>
      <c r="D50" s="40"/>
      <c r="E50" s="41"/>
      <c r="F50" s="71"/>
      <c r="G50" s="71"/>
      <c r="H50" s="71"/>
      <c r="I50" s="71"/>
      <c r="J50" s="71"/>
      <c r="K50" s="71"/>
      <c r="L50" s="33"/>
      <c r="M50" s="31"/>
      <c r="N50" s="108"/>
      <c r="Q50" s="325" t="s">
        <v>343</v>
      </c>
      <c r="R50" s="325"/>
      <c r="S50" s="327">
        <f>S15</f>
        <v>18132.55</v>
      </c>
    </row>
    <row r="51" spans="2:19" x14ac:dyDescent="0.25">
      <c r="C51" s="40"/>
      <c r="D51" s="40"/>
      <c r="E51" s="41"/>
      <c r="F51" s="71"/>
      <c r="G51" s="71"/>
      <c r="H51" s="71"/>
      <c r="I51" s="71"/>
      <c r="J51" s="71"/>
      <c r="K51" s="71"/>
      <c r="L51" s="33"/>
      <c r="M51" s="35"/>
      <c r="N51" s="37"/>
      <c r="O51" s="37"/>
      <c r="P51" s="29"/>
    </row>
    <row r="52" spans="2:19" ht="15" customHeight="1" x14ac:dyDescent="0.25">
      <c r="B52" s="36"/>
      <c r="C52" s="40"/>
      <c r="D52" s="40"/>
      <c r="E52" s="41"/>
      <c r="F52" s="38"/>
      <c r="G52" s="38"/>
      <c r="H52" s="38"/>
      <c r="I52" s="38"/>
      <c r="J52" s="38"/>
      <c r="K52" s="38"/>
      <c r="L52" s="33"/>
      <c r="M52" s="31"/>
      <c r="N52" s="101"/>
      <c r="O52" s="101"/>
      <c r="P52" s="29"/>
    </row>
    <row r="53" spans="2:19" x14ac:dyDescent="0.25">
      <c r="B53" s="36"/>
      <c r="C53" s="40"/>
      <c r="D53" s="40"/>
      <c r="E53" s="41"/>
      <c r="F53" s="38"/>
      <c r="G53" s="38"/>
      <c r="H53" s="38"/>
      <c r="I53" s="38"/>
      <c r="J53" s="38"/>
      <c r="K53" s="38"/>
      <c r="L53" s="33"/>
      <c r="M53" s="31"/>
      <c r="N53" s="101"/>
      <c r="O53" s="101"/>
      <c r="P53" s="29"/>
    </row>
    <row r="54" spans="2:19" x14ac:dyDescent="0.25">
      <c r="B54" s="36"/>
      <c r="C54" s="40"/>
      <c r="D54" s="40"/>
      <c r="E54" s="41"/>
      <c r="F54" s="38"/>
      <c r="G54" s="38"/>
      <c r="H54" s="38"/>
      <c r="I54" s="38"/>
      <c r="J54" s="38"/>
      <c r="K54" s="38"/>
      <c r="L54" s="33"/>
      <c r="M54" s="31"/>
      <c r="N54" s="101"/>
      <c r="O54" s="101"/>
      <c r="P54" s="29"/>
    </row>
    <row r="55" spans="2:19" ht="16.5" customHeight="1" x14ac:dyDescent="0.25">
      <c r="B55" s="36"/>
      <c r="C55" s="40"/>
      <c r="D55" s="40"/>
      <c r="E55" s="41"/>
      <c r="F55" s="38"/>
      <c r="G55" s="38"/>
      <c r="H55" s="38"/>
      <c r="I55" s="38"/>
      <c r="J55" s="38"/>
      <c r="K55" s="38"/>
      <c r="L55" s="39"/>
      <c r="M55" s="20"/>
      <c r="N55" s="101"/>
      <c r="O55" s="101"/>
      <c r="P55" s="29"/>
    </row>
    <row r="56" spans="2:19" ht="15" hidden="1" customHeight="1" x14ac:dyDescent="0.25"/>
    <row r="57" spans="2:19" ht="15" customHeight="1" x14ac:dyDescent="0.25">
      <c r="E57" s="21"/>
      <c r="F57" s="105"/>
      <c r="G57" s="105"/>
      <c r="H57" s="105"/>
      <c r="I57" s="105"/>
      <c r="J57" s="105"/>
      <c r="K57" s="105"/>
    </row>
    <row r="60" spans="2:19" ht="15" customHeight="1" x14ac:dyDescent="0.25"/>
  </sheetData>
  <mergeCells count="7">
    <mergeCell ref="B36:H36"/>
    <mergeCell ref="B25:F25"/>
    <mergeCell ref="Q1:S1"/>
    <mergeCell ref="Q2:S2"/>
    <mergeCell ref="B20:F20"/>
    <mergeCell ref="B22:F22"/>
    <mergeCell ref="B24:F24"/>
  </mergeCells>
  <hyperlinks>
    <hyperlink ref="B25" r:id="rId1"/>
  </hyperlinks>
  <printOptions horizontalCentered="1" gridLines="1"/>
  <pageMargins left="0" right="0" top="0.75" bottom="0.75" header="0.3" footer="0.3"/>
  <pageSetup scale="54" orientation="landscape" horizontalDpi="1200" verticalDpi="1200"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4"/>
  <sheetViews>
    <sheetView topLeftCell="F32" zoomScale="130" zoomScaleNormal="130" workbookViewId="0">
      <selection activeCell="Q58" sqref="Q58"/>
    </sheetView>
  </sheetViews>
  <sheetFormatPr defaultColWidth="9.140625" defaultRowHeight="15" x14ac:dyDescent="0.25"/>
  <cols>
    <col min="1" max="1" width="9.140625" style="2" hidden="1" customWidth="1"/>
    <col min="2" max="2" width="59.42578125" style="2" customWidth="1"/>
    <col min="3" max="3" width="26.28515625" style="2" customWidth="1"/>
    <col min="4" max="4" width="13.7109375" style="2" customWidth="1"/>
    <col min="5" max="5" width="17.28515625" style="2" customWidth="1"/>
    <col min="6" max="6" width="22" style="2" customWidth="1"/>
    <col min="7" max="7" width="10.28515625" style="2" customWidth="1"/>
    <col min="8" max="8" width="12.85546875" style="2" customWidth="1"/>
    <col min="9" max="9" width="13.42578125" style="2" customWidth="1"/>
    <col min="10" max="10" width="15.7109375" style="2" customWidth="1"/>
    <col min="11" max="11" width="8.85546875" style="2" customWidth="1"/>
    <col min="12" max="12" width="18.425781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6.7109375" style="2" customWidth="1"/>
    <col min="20" max="16384" width="9.140625" style="2"/>
  </cols>
  <sheetData>
    <row r="1" spans="1:20" ht="18" customHeight="1" x14ac:dyDescent="0.25">
      <c r="A1" s="2" t="s">
        <v>342</v>
      </c>
      <c r="B1" s="1" t="s">
        <v>20</v>
      </c>
      <c r="Q1" s="335" t="s">
        <v>230</v>
      </c>
      <c r="R1" s="335"/>
      <c r="S1" s="335"/>
    </row>
    <row r="2" spans="1:20" ht="18" customHeight="1" x14ac:dyDescent="0.25">
      <c r="B2" s="90" t="s">
        <v>148</v>
      </c>
      <c r="C2" s="187">
        <v>44377</v>
      </c>
      <c r="M2" s="73"/>
      <c r="N2" s="73"/>
      <c r="P2" s="29"/>
      <c r="Q2" s="334" t="s">
        <v>338</v>
      </c>
      <c r="R2" s="334"/>
      <c r="S2" s="334"/>
    </row>
    <row r="3" spans="1:20" ht="18" customHeight="1" thickBot="1" x14ac:dyDescent="0.3">
      <c r="A3" s="2" t="s">
        <v>16</v>
      </c>
      <c r="B3" s="44" t="s">
        <v>78</v>
      </c>
      <c r="C3" s="8"/>
      <c r="D3" s="8"/>
      <c r="E3" s="8"/>
      <c r="P3" s="29"/>
      <c r="Q3" s="45"/>
      <c r="R3" s="30"/>
    </row>
    <row r="4" spans="1:20" ht="18.75" customHeight="1" x14ac:dyDescent="0.25">
      <c r="B4" s="8" t="s">
        <v>174</v>
      </c>
      <c r="M4" s="87" t="s">
        <v>28</v>
      </c>
      <c r="N4" s="87" t="s">
        <v>28</v>
      </c>
      <c r="O4" s="87" t="s">
        <v>28</v>
      </c>
      <c r="P4" s="9"/>
      <c r="Q4" s="91" t="s">
        <v>29</v>
      </c>
      <c r="R4" s="91" t="s">
        <v>31</v>
      </c>
      <c r="S4" s="91" t="s">
        <v>23</v>
      </c>
      <c r="T4" s="7"/>
    </row>
    <row r="5" spans="1:20" ht="15.75" thickBot="1" x14ac:dyDescent="0.3">
      <c r="G5" s="188" t="s">
        <v>231</v>
      </c>
      <c r="H5" s="188" t="s">
        <v>231</v>
      </c>
      <c r="M5" s="88" t="s">
        <v>27</v>
      </c>
      <c r="N5" s="88" t="s">
        <v>26</v>
      </c>
      <c r="O5" s="88" t="s">
        <v>25</v>
      </c>
      <c r="P5" s="9"/>
      <c r="Q5" s="92" t="s">
        <v>30</v>
      </c>
      <c r="R5" s="92" t="s">
        <v>30</v>
      </c>
      <c r="S5" s="92" t="s">
        <v>30</v>
      </c>
      <c r="T5" s="7"/>
    </row>
    <row r="6" spans="1:20" ht="85.5" customHeight="1" thickBot="1" x14ac:dyDescent="0.3">
      <c r="B6" s="86" t="s">
        <v>1</v>
      </c>
      <c r="C6" s="86" t="s">
        <v>127</v>
      </c>
      <c r="D6" s="86" t="s">
        <v>107</v>
      </c>
      <c r="E6" s="86" t="s">
        <v>3</v>
      </c>
      <c r="F6" s="86" t="s">
        <v>4</v>
      </c>
      <c r="G6" s="110" t="s">
        <v>136</v>
      </c>
      <c r="H6" s="110" t="s">
        <v>137</v>
      </c>
      <c r="I6" s="110" t="s">
        <v>133</v>
      </c>
      <c r="J6" s="110" t="s">
        <v>134</v>
      </c>
      <c r="K6" s="110" t="s">
        <v>121</v>
      </c>
      <c r="L6" s="85" t="s">
        <v>5</v>
      </c>
      <c r="M6" s="89" t="s">
        <v>6</v>
      </c>
      <c r="N6" s="89" t="s">
        <v>6</v>
      </c>
      <c r="O6" s="89" t="s">
        <v>6</v>
      </c>
      <c r="P6" s="9"/>
      <c r="Q6" s="93"/>
      <c r="R6" s="99" t="s">
        <v>32</v>
      </c>
      <c r="S6" s="100" t="s">
        <v>33</v>
      </c>
    </row>
    <row r="7" spans="1:20" ht="24.75" hidden="1" customHeight="1" x14ac:dyDescent="0.25">
      <c r="B7" s="2" t="s">
        <v>8</v>
      </c>
      <c r="C7" s="94" t="s">
        <v>106</v>
      </c>
      <c r="D7" s="94" t="s">
        <v>246</v>
      </c>
      <c r="E7" s="2" t="s">
        <v>232</v>
      </c>
      <c r="F7" s="2" t="s">
        <v>7</v>
      </c>
      <c r="G7" s="191">
        <v>2.9600000000000001E-2</v>
      </c>
      <c r="H7" s="191">
        <v>0.1744</v>
      </c>
      <c r="I7" s="192">
        <v>44377</v>
      </c>
      <c r="J7" s="192">
        <v>44378</v>
      </c>
      <c r="K7" s="192">
        <v>44013</v>
      </c>
      <c r="L7" s="193" t="s">
        <v>234</v>
      </c>
      <c r="M7" s="72"/>
      <c r="N7" s="72"/>
      <c r="O7" s="69">
        <f>M7+N7</f>
        <v>0</v>
      </c>
      <c r="P7" s="42"/>
      <c r="Q7" s="43"/>
      <c r="R7" s="69"/>
      <c r="S7" s="70"/>
    </row>
    <row r="8" spans="1:20" ht="36.75" customHeight="1" x14ac:dyDescent="0.25">
      <c r="B8" s="2" t="s">
        <v>128</v>
      </c>
      <c r="C8" s="243" t="s">
        <v>122</v>
      </c>
      <c r="D8" s="95" t="s">
        <v>248</v>
      </c>
      <c r="E8" s="2" t="s">
        <v>233</v>
      </c>
      <c r="F8" s="2" t="s">
        <v>7</v>
      </c>
      <c r="G8" s="191">
        <v>2.9600000000000001E-2</v>
      </c>
      <c r="H8" s="191">
        <v>0.1744</v>
      </c>
      <c r="I8" s="192">
        <v>44377</v>
      </c>
      <c r="J8" s="192">
        <v>44378</v>
      </c>
      <c r="K8" s="192">
        <v>44013</v>
      </c>
      <c r="L8" s="193" t="s">
        <v>234</v>
      </c>
      <c r="M8" s="72">
        <v>19931.03</v>
      </c>
      <c r="N8" s="72"/>
      <c r="O8" s="69">
        <f>M8+N8</f>
        <v>19931.03</v>
      </c>
      <c r="P8" s="42"/>
      <c r="Q8" s="43">
        <v>19931.03</v>
      </c>
      <c r="R8" s="69">
        <v>0</v>
      </c>
      <c r="S8" s="70">
        <f>Q8+R8</f>
        <v>19931.03</v>
      </c>
    </row>
    <row r="9" spans="1:20" ht="32.25" customHeight="1" x14ac:dyDescent="0.25">
      <c r="B9" s="2" t="s">
        <v>241</v>
      </c>
      <c r="C9" s="243" t="s">
        <v>242</v>
      </c>
      <c r="D9" s="95" t="s">
        <v>243</v>
      </c>
      <c r="E9" s="2" t="s">
        <v>244</v>
      </c>
      <c r="F9" s="2" t="s">
        <v>7</v>
      </c>
      <c r="G9" s="191">
        <v>2.9600000000000001E-2</v>
      </c>
      <c r="H9" s="191">
        <v>0.1744</v>
      </c>
      <c r="I9" s="192">
        <v>44834</v>
      </c>
      <c r="J9" s="192">
        <v>44849</v>
      </c>
      <c r="K9" s="192">
        <v>43614</v>
      </c>
      <c r="L9" s="193" t="s">
        <v>311</v>
      </c>
      <c r="M9" s="72">
        <v>45601.58</v>
      </c>
      <c r="N9" s="72"/>
      <c r="O9" s="69">
        <f>M9+N9</f>
        <v>45601.58</v>
      </c>
      <c r="P9" s="42"/>
      <c r="Q9" s="43"/>
      <c r="R9" s="69"/>
      <c r="S9" s="70"/>
    </row>
    <row r="10" spans="1:20" ht="32.25" customHeight="1" x14ac:dyDescent="0.25">
      <c r="B10" s="2" t="s">
        <v>283</v>
      </c>
      <c r="C10" s="243" t="s">
        <v>264</v>
      </c>
      <c r="D10" s="95" t="s">
        <v>254</v>
      </c>
      <c r="E10" s="2" t="s">
        <v>284</v>
      </c>
      <c r="F10" s="2" t="s">
        <v>7</v>
      </c>
      <c r="G10" s="191">
        <f t="shared" ref="G10:H10" si="0">+G9</f>
        <v>2.9600000000000001E-2</v>
      </c>
      <c r="H10" s="191">
        <f t="shared" si="0"/>
        <v>0.1744</v>
      </c>
      <c r="I10" s="192">
        <v>44377</v>
      </c>
      <c r="J10" s="192">
        <v>44392</v>
      </c>
      <c r="K10" s="192">
        <v>43613</v>
      </c>
      <c r="L10" s="193" t="s">
        <v>234</v>
      </c>
      <c r="M10" s="81">
        <v>7302.48</v>
      </c>
      <c r="N10" s="69"/>
      <c r="O10" s="69">
        <f>M10+N10</f>
        <v>7302.48</v>
      </c>
      <c r="P10" s="69"/>
      <c r="Q10" s="69"/>
      <c r="R10" s="69"/>
      <c r="S10" s="70">
        <f>Q10+R10</f>
        <v>0</v>
      </c>
    </row>
    <row r="11" spans="1:20" ht="32.25" customHeight="1" x14ac:dyDescent="0.25">
      <c r="B11" s="2" t="s">
        <v>318</v>
      </c>
      <c r="C11" s="243" t="s">
        <v>242</v>
      </c>
      <c r="D11" s="95" t="s">
        <v>243</v>
      </c>
      <c r="E11" s="2" t="s">
        <v>319</v>
      </c>
      <c r="F11" s="2" t="s">
        <v>7</v>
      </c>
      <c r="G11" s="191">
        <v>2.9600000000000001E-2</v>
      </c>
      <c r="H11" s="191">
        <v>0.1744</v>
      </c>
      <c r="I11" s="192">
        <v>44561</v>
      </c>
      <c r="J11" s="192">
        <v>44576</v>
      </c>
      <c r="K11" s="192">
        <v>43980</v>
      </c>
      <c r="L11" s="193" t="s">
        <v>320</v>
      </c>
      <c r="M11" s="81">
        <v>3000</v>
      </c>
      <c r="N11" s="69"/>
      <c r="O11" s="69">
        <f t="shared" ref="O11:O13" si="1">M11+N11</f>
        <v>3000</v>
      </c>
      <c r="P11" s="68"/>
      <c r="Q11" s="69"/>
      <c r="R11" s="69"/>
      <c r="S11" s="70">
        <f t="shared" ref="S11:S13" si="2">Q11+R11</f>
        <v>0</v>
      </c>
    </row>
    <row r="12" spans="1:20" ht="32.25" customHeight="1" x14ac:dyDescent="0.25">
      <c r="B12" s="2" t="s">
        <v>321</v>
      </c>
      <c r="C12" s="243" t="s">
        <v>264</v>
      </c>
      <c r="D12" s="95" t="s">
        <v>254</v>
      </c>
      <c r="E12" s="2" t="s">
        <v>322</v>
      </c>
      <c r="F12" s="2" t="s">
        <v>7</v>
      </c>
      <c r="G12" s="191">
        <v>2.9600000000000001E-2</v>
      </c>
      <c r="H12" s="191">
        <v>0.1744</v>
      </c>
      <c r="I12" s="192">
        <v>44742</v>
      </c>
      <c r="J12" s="192">
        <v>44757</v>
      </c>
      <c r="K12" s="192">
        <v>43979</v>
      </c>
      <c r="L12" s="193" t="s">
        <v>333</v>
      </c>
      <c r="M12" s="81">
        <v>1027</v>
      </c>
      <c r="N12" s="69"/>
      <c r="O12" s="69">
        <f t="shared" si="1"/>
        <v>1027</v>
      </c>
      <c r="P12" s="68"/>
      <c r="Q12" s="69"/>
      <c r="R12" s="69"/>
      <c r="S12" s="70">
        <f t="shared" si="2"/>
        <v>0</v>
      </c>
    </row>
    <row r="13" spans="1:20" ht="32.25" customHeight="1" x14ac:dyDescent="0.25">
      <c r="B13" s="2" t="s">
        <v>327</v>
      </c>
      <c r="C13" s="243" t="s">
        <v>242</v>
      </c>
      <c r="D13" s="95" t="s">
        <v>328</v>
      </c>
      <c r="E13" s="2" t="s">
        <v>329</v>
      </c>
      <c r="F13" s="2" t="s">
        <v>7</v>
      </c>
      <c r="G13" s="191">
        <v>2.9600000000000001E-2</v>
      </c>
      <c r="H13" s="191">
        <v>0.1744</v>
      </c>
      <c r="I13" s="192">
        <v>44440</v>
      </c>
      <c r="J13" s="192">
        <v>44440</v>
      </c>
      <c r="K13" s="192">
        <v>44201</v>
      </c>
      <c r="L13" s="193" t="s">
        <v>330</v>
      </c>
      <c r="M13" s="81">
        <v>141280.6</v>
      </c>
      <c r="N13" s="69"/>
      <c r="O13" s="69">
        <f t="shared" si="1"/>
        <v>141280.6</v>
      </c>
      <c r="P13" s="68"/>
      <c r="Q13" s="69"/>
      <c r="R13" s="69"/>
      <c r="S13" s="70">
        <f t="shared" si="2"/>
        <v>0</v>
      </c>
    </row>
    <row r="14" spans="1:20" x14ac:dyDescent="0.25">
      <c r="C14" s="94"/>
      <c r="D14" s="94"/>
      <c r="G14" s="191"/>
      <c r="H14" s="191"/>
      <c r="I14" s="192"/>
      <c r="J14" s="192"/>
      <c r="K14" s="192"/>
      <c r="L14" s="210"/>
      <c r="M14" s="25"/>
      <c r="N14" s="25"/>
      <c r="O14" s="25"/>
      <c r="P14" s="29"/>
      <c r="Q14" s="25"/>
      <c r="R14" s="25"/>
      <c r="S14" s="26"/>
    </row>
    <row r="15" spans="1:20" ht="23.25" customHeight="1" x14ac:dyDescent="0.25">
      <c r="C15" s="94"/>
      <c r="D15" s="94"/>
      <c r="G15" s="126"/>
      <c r="H15" s="127"/>
      <c r="I15" s="119"/>
      <c r="J15" s="119"/>
      <c r="K15" s="119"/>
      <c r="L15" s="5" t="s">
        <v>38</v>
      </c>
      <c r="M15" s="68">
        <f>SUM(M7:M14)</f>
        <v>218142.69</v>
      </c>
      <c r="N15" s="68">
        <f t="shared" ref="N15:O15" si="3">SUM(N7:N14)</f>
        <v>0</v>
      </c>
      <c r="O15" s="68">
        <f t="shared" si="3"/>
        <v>218142.69</v>
      </c>
      <c r="P15" s="29"/>
      <c r="Q15" s="68">
        <f>SUM(Q7:Q14)</f>
        <v>19931.03</v>
      </c>
      <c r="R15" s="68">
        <f t="shared" ref="R15:S15" si="4">SUM(R7:R14)</f>
        <v>0</v>
      </c>
      <c r="S15" s="23">
        <f t="shared" si="4"/>
        <v>19931.03</v>
      </c>
    </row>
    <row r="16" spans="1:20" x14ac:dyDescent="0.25">
      <c r="C16" s="94"/>
      <c r="D16" s="94"/>
      <c r="I16" s="119"/>
      <c r="J16" s="119"/>
      <c r="K16" s="119"/>
      <c r="L16" s="5"/>
      <c r="M16" s="68"/>
      <c r="N16" s="68"/>
      <c r="O16" s="68"/>
      <c r="Q16" s="68"/>
      <c r="R16" s="68"/>
      <c r="S16" s="70"/>
    </row>
    <row r="17" spans="2:19" x14ac:dyDescent="0.25">
      <c r="C17" s="94"/>
      <c r="D17" s="94"/>
      <c r="L17" s="5"/>
      <c r="M17" s="68"/>
      <c r="N17" s="68"/>
      <c r="O17" s="68"/>
      <c r="Q17" s="68"/>
      <c r="R17" s="68"/>
      <c r="S17" s="70"/>
    </row>
    <row r="18" spans="2:19" x14ac:dyDescent="0.25">
      <c r="B18" s="8" t="s">
        <v>125</v>
      </c>
      <c r="C18" s="94"/>
      <c r="D18" s="94"/>
      <c r="L18" s="5"/>
      <c r="M18" s="68"/>
      <c r="N18" s="68"/>
      <c r="O18" s="68"/>
      <c r="Q18" s="68"/>
      <c r="R18" s="68"/>
      <c r="S18" s="70"/>
    </row>
    <row r="19" spans="2:19" ht="34.5" customHeight="1" x14ac:dyDescent="0.25">
      <c r="B19" s="338" t="s">
        <v>126</v>
      </c>
      <c r="C19" s="338"/>
      <c r="D19" s="338"/>
      <c r="E19" s="338"/>
      <c r="F19" s="338"/>
      <c r="G19" s="120"/>
      <c r="H19" s="120"/>
      <c r="I19" s="114"/>
      <c r="L19" s="5"/>
      <c r="M19" s="68"/>
      <c r="N19" s="68"/>
      <c r="O19" s="68"/>
      <c r="Q19" s="68"/>
      <c r="R19" s="68"/>
      <c r="S19" s="70"/>
    </row>
    <row r="20" spans="2:19" x14ac:dyDescent="0.25">
      <c r="C20" s="94"/>
      <c r="D20" s="94"/>
      <c r="L20" s="5"/>
      <c r="M20" s="68"/>
      <c r="N20" s="68"/>
      <c r="O20" s="68"/>
      <c r="Q20" s="68"/>
      <c r="R20" s="68"/>
      <c r="S20" s="70"/>
    </row>
    <row r="21" spans="2:19" ht="48.75" customHeight="1" x14ac:dyDescent="0.25">
      <c r="B21" s="338" t="s">
        <v>129</v>
      </c>
      <c r="C21" s="338"/>
      <c r="D21" s="338"/>
      <c r="E21" s="338"/>
      <c r="F21" s="338"/>
      <c r="G21" s="120"/>
      <c r="H21" s="120"/>
      <c r="I21" s="114"/>
      <c r="L21" s="5"/>
      <c r="M21" s="68"/>
      <c r="N21" s="68"/>
      <c r="O21" s="68"/>
      <c r="Q21" s="68"/>
      <c r="R21" s="68"/>
      <c r="S21" s="70"/>
    </row>
    <row r="22" spans="2:19" x14ac:dyDescent="0.25">
      <c r="B22" s="198"/>
      <c r="C22" s="198"/>
      <c r="D22" s="198"/>
      <c r="E22" s="198"/>
      <c r="F22" s="198"/>
      <c r="G22" s="198"/>
      <c r="H22" s="198"/>
      <c r="I22" s="198"/>
      <c r="L22" s="5"/>
      <c r="M22" s="68"/>
      <c r="N22" s="68"/>
      <c r="O22" s="68"/>
      <c r="Q22" s="68"/>
      <c r="R22" s="68"/>
      <c r="S22" s="70"/>
    </row>
    <row r="23" spans="2:19" ht="33.75" customHeight="1" x14ac:dyDescent="0.25">
      <c r="B23" s="338" t="s">
        <v>160</v>
      </c>
      <c r="C23" s="338"/>
      <c r="D23" s="338"/>
      <c r="E23" s="338"/>
      <c r="F23" s="338"/>
      <c r="G23" s="198"/>
      <c r="H23" s="198"/>
      <c r="I23" s="198"/>
      <c r="L23" s="5"/>
      <c r="M23" s="68"/>
      <c r="N23" s="68"/>
      <c r="O23" s="68"/>
      <c r="Q23" s="68"/>
      <c r="R23" s="68"/>
      <c r="S23" s="70"/>
    </row>
    <row r="24" spans="2:19" ht="15" customHeight="1" x14ac:dyDescent="0.25">
      <c r="B24" s="346" t="s">
        <v>159</v>
      </c>
      <c r="C24" s="338"/>
      <c r="D24" s="338"/>
      <c r="E24" s="338"/>
      <c r="F24" s="338"/>
      <c r="G24" s="198"/>
      <c r="H24" s="198"/>
      <c r="I24" s="198"/>
      <c r="L24" s="5"/>
      <c r="M24" s="68"/>
      <c r="N24" s="68"/>
      <c r="O24" s="68"/>
      <c r="Q24" s="68"/>
      <c r="R24" s="68"/>
      <c r="S24" s="70"/>
    </row>
    <row r="25" spans="2:19" ht="15" customHeight="1" x14ac:dyDescent="0.25">
      <c r="B25" s="200"/>
      <c r="C25" s="200"/>
      <c r="D25" s="200"/>
      <c r="E25" s="200"/>
      <c r="F25" s="200"/>
      <c r="G25" s="200"/>
      <c r="H25" s="200"/>
      <c r="I25" s="200"/>
      <c r="L25" s="5"/>
      <c r="M25" s="68"/>
      <c r="N25" s="68"/>
      <c r="O25" s="68"/>
      <c r="Q25" s="68"/>
      <c r="R25" s="68"/>
      <c r="S25" s="70"/>
    </row>
    <row r="26" spans="2:19" x14ac:dyDescent="0.25">
      <c r="B26" s="111"/>
      <c r="C26" s="111"/>
      <c r="D26" s="111"/>
      <c r="E26" s="111"/>
      <c r="F26" s="111"/>
      <c r="G26" s="120"/>
      <c r="H26" s="120"/>
      <c r="I26" s="114"/>
      <c r="L26" s="5"/>
      <c r="M26" s="68"/>
      <c r="N26" s="68"/>
      <c r="O26" s="68"/>
      <c r="Q26" s="68"/>
      <c r="R26" s="68"/>
      <c r="S26" s="70"/>
    </row>
    <row r="27" spans="2:19" x14ac:dyDescent="0.25">
      <c r="B27" s="7" t="s">
        <v>109</v>
      </c>
      <c r="C27" s="104" t="s">
        <v>112</v>
      </c>
      <c r="D27" s="104" t="s">
        <v>113</v>
      </c>
      <c r="E27" s="111"/>
      <c r="F27" s="111"/>
      <c r="G27" s="120"/>
      <c r="H27" s="120"/>
      <c r="I27" s="114"/>
      <c r="L27" s="5"/>
      <c r="M27" s="68"/>
      <c r="N27" s="68"/>
      <c r="O27" s="68"/>
      <c r="Q27" s="68"/>
      <c r="R27" s="68"/>
      <c r="S27" s="70"/>
    </row>
    <row r="28" spans="2:19" x14ac:dyDescent="0.25">
      <c r="B28" s="2" t="s">
        <v>110</v>
      </c>
      <c r="C28" s="94" t="s">
        <v>116</v>
      </c>
      <c r="D28" s="94" t="s">
        <v>118</v>
      </c>
      <c r="E28" s="229"/>
      <c r="F28" s="229"/>
      <c r="G28" s="229"/>
      <c r="H28" s="229"/>
      <c r="I28" s="229"/>
      <c r="L28" s="5"/>
      <c r="M28" s="68"/>
      <c r="N28" s="68"/>
      <c r="O28" s="68"/>
      <c r="Q28" s="68"/>
      <c r="R28" s="68"/>
      <c r="S28" s="70"/>
    </row>
    <row r="29" spans="2:19" x14ac:dyDescent="0.25">
      <c r="B29" s="2" t="s">
        <v>252</v>
      </c>
      <c r="C29" s="94" t="s">
        <v>135</v>
      </c>
      <c r="D29" s="94" t="s">
        <v>147</v>
      </c>
      <c r="L29" s="5"/>
      <c r="M29" s="68"/>
      <c r="N29" s="68"/>
      <c r="O29" s="68"/>
      <c r="Q29" s="68"/>
      <c r="R29" s="68"/>
      <c r="S29" s="70"/>
    </row>
    <row r="30" spans="2:19" x14ac:dyDescent="0.25">
      <c r="B30" s="2" t="s">
        <v>260</v>
      </c>
      <c r="C30" s="94" t="s">
        <v>135</v>
      </c>
      <c r="D30" s="94" t="s">
        <v>147</v>
      </c>
      <c r="L30" s="5"/>
      <c r="M30" s="68"/>
      <c r="N30" s="68"/>
      <c r="O30" s="68"/>
      <c r="Q30" s="68"/>
      <c r="R30" s="68"/>
      <c r="S30" s="70"/>
    </row>
    <row r="31" spans="2:19" x14ac:dyDescent="0.25">
      <c r="B31" s="2" t="s">
        <v>318</v>
      </c>
      <c r="C31" s="94" t="s">
        <v>135</v>
      </c>
      <c r="D31" s="94" t="s">
        <v>147</v>
      </c>
      <c r="L31" s="5"/>
      <c r="M31" s="68"/>
      <c r="N31" s="68"/>
      <c r="O31" s="68"/>
      <c r="Q31" s="68"/>
      <c r="R31" s="68"/>
      <c r="S31" s="70"/>
    </row>
    <row r="32" spans="2:19" x14ac:dyDescent="0.25">
      <c r="B32" s="2" t="s">
        <v>321</v>
      </c>
      <c r="C32" s="94" t="s">
        <v>135</v>
      </c>
      <c r="D32" s="94" t="s">
        <v>147</v>
      </c>
      <c r="L32" s="5"/>
      <c r="M32" s="68"/>
      <c r="N32" s="68"/>
      <c r="O32" s="68"/>
      <c r="Q32" s="68"/>
      <c r="R32" s="68"/>
      <c r="S32" s="70"/>
    </row>
    <row r="33" spans="2:20" x14ac:dyDescent="0.25">
      <c r="B33" s="2" t="s">
        <v>326</v>
      </c>
      <c r="C33" s="94" t="s">
        <v>135</v>
      </c>
      <c r="D33" s="94" t="s">
        <v>147</v>
      </c>
      <c r="L33" s="5"/>
      <c r="M33" s="68"/>
      <c r="N33" s="68"/>
      <c r="O33" s="68"/>
      <c r="Q33" s="68"/>
      <c r="R33" s="68"/>
      <c r="S33" s="70"/>
    </row>
    <row r="34" spans="2:20" x14ac:dyDescent="0.25">
      <c r="C34" s="94"/>
      <c r="D34" s="94"/>
      <c r="L34" s="5"/>
      <c r="M34" s="68"/>
      <c r="N34" s="68"/>
      <c r="O34" s="68"/>
      <c r="Q34" s="68"/>
      <c r="R34" s="68"/>
      <c r="S34" s="70"/>
    </row>
    <row r="35" spans="2:20" x14ac:dyDescent="0.25">
      <c r="B35" s="347" t="s">
        <v>235</v>
      </c>
      <c r="C35" s="333"/>
      <c r="D35" s="333"/>
      <c r="E35" s="333"/>
      <c r="F35" s="333"/>
      <c r="G35" s="333"/>
      <c r="H35" s="333"/>
      <c r="L35" s="5"/>
      <c r="M35" s="68"/>
      <c r="N35" s="68"/>
      <c r="O35" s="68"/>
      <c r="Q35" s="68"/>
      <c r="R35" s="68"/>
      <c r="S35" s="70"/>
    </row>
    <row r="36" spans="2:20" x14ac:dyDescent="0.25">
      <c r="B36" s="249" t="s">
        <v>236</v>
      </c>
      <c r="C36" s="94"/>
      <c r="D36" s="94"/>
      <c r="L36" s="5"/>
      <c r="M36" s="68"/>
      <c r="N36" s="68"/>
      <c r="O36" s="68"/>
      <c r="Q36" s="68"/>
      <c r="R36" s="68"/>
      <c r="S36" s="70"/>
    </row>
    <row r="37" spans="2:20" x14ac:dyDescent="0.25">
      <c r="B37" s="10"/>
      <c r="C37" s="96"/>
      <c r="D37" s="96"/>
      <c r="E37" s="10"/>
      <c r="F37" s="10"/>
      <c r="G37" s="10"/>
      <c r="H37" s="10"/>
      <c r="I37" s="10"/>
      <c r="J37" s="10"/>
      <c r="K37" s="10"/>
      <c r="L37" s="10"/>
      <c r="M37" s="10"/>
      <c r="N37" s="47"/>
      <c r="O37" s="47"/>
      <c r="P37" s="47"/>
      <c r="Q37" s="57"/>
      <c r="R37" s="52"/>
      <c r="S37" s="53"/>
      <c r="T37" s="51"/>
    </row>
    <row r="38" spans="2:20" ht="15" customHeight="1" x14ac:dyDescent="0.25">
      <c r="Q38" s="59" t="s">
        <v>90</v>
      </c>
      <c r="R38" s="49"/>
      <c r="S38" s="169"/>
      <c r="T38" s="51"/>
    </row>
    <row r="39" spans="2:20" ht="15" customHeight="1" x14ac:dyDescent="0.25">
      <c r="B39" s="17" t="s">
        <v>39</v>
      </c>
      <c r="C39" s="98" t="s">
        <v>2</v>
      </c>
      <c r="D39" s="98"/>
      <c r="E39" s="98" t="s">
        <v>34</v>
      </c>
      <c r="F39" s="98" t="s">
        <v>35</v>
      </c>
      <c r="G39" s="123"/>
      <c r="H39" s="123"/>
      <c r="I39" s="117"/>
      <c r="J39" s="98"/>
      <c r="K39" s="98"/>
      <c r="L39" s="98" t="s">
        <v>36</v>
      </c>
      <c r="M39" s="98" t="s">
        <v>37</v>
      </c>
      <c r="N39" s="10"/>
      <c r="O39" s="10"/>
      <c r="P39" s="10"/>
      <c r="Q39" s="54" t="s">
        <v>88</v>
      </c>
      <c r="R39" s="52"/>
      <c r="S39" s="53"/>
    </row>
    <row r="40" spans="2:20" ht="15" customHeight="1" x14ac:dyDescent="0.25">
      <c r="B40" s="65"/>
      <c r="C40" s="9"/>
      <c r="D40" s="9"/>
      <c r="E40" s="9"/>
      <c r="F40" s="9"/>
      <c r="G40" s="9"/>
      <c r="H40" s="9"/>
      <c r="I40" s="9"/>
      <c r="J40" s="9"/>
      <c r="K40" s="9"/>
      <c r="L40" s="9"/>
      <c r="M40" s="9"/>
      <c r="Q40" s="59"/>
      <c r="R40" s="49"/>
      <c r="S40" s="49"/>
    </row>
    <row r="41" spans="2:20" x14ac:dyDescent="0.25">
      <c r="B41" s="65"/>
      <c r="C41" s="9"/>
      <c r="D41" s="9"/>
      <c r="E41" s="9"/>
      <c r="F41" s="9"/>
      <c r="G41" s="9"/>
      <c r="H41" s="9"/>
      <c r="I41" s="9"/>
      <c r="J41" s="9"/>
      <c r="K41" s="9"/>
      <c r="L41" s="9"/>
      <c r="M41" s="9"/>
      <c r="R41" s="51"/>
      <c r="S41" s="51"/>
    </row>
    <row r="42" spans="2:20" x14ac:dyDescent="0.25">
      <c r="B42" s="12"/>
      <c r="C42" s="13"/>
      <c r="D42" s="13"/>
      <c r="E42" s="41"/>
      <c r="F42" s="15"/>
      <c r="G42" s="15"/>
      <c r="H42" s="15"/>
      <c r="I42" s="15"/>
      <c r="J42" s="15"/>
      <c r="K42" s="15"/>
      <c r="L42" s="16"/>
      <c r="M42" s="20"/>
      <c r="N42" s="18"/>
      <c r="O42" s="18"/>
      <c r="P42" s="18"/>
      <c r="Q42" s="51"/>
      <c r="R42" s="51"/>
      <c r="S42" s="51"/>
    </row>
    <row r="43" spans="2:20" x14ac:dyDescent="0.25">
      <c r="B43" s="12"/>
      <c r="C43" s="13"/>
      <c r="D43" s="13"/>
      <c r="E43" s="41"/>
      <c r="F43" s="15"/>
      <c r="G43" s="15"/>
      <c r="H43" s="15"/>
      <c r="I43" s="15"/>
      <c r="J43" s="15"/>
      <c r="K43" s="15"/>
      <c r="L43" s="16"/>
      <c r="M43" s="20"/>
      <c r="N43" s="18"/>
      <c r="O43" s="18"/>
      <c r="P43" s="18"/>
      <c r="Q43" s="51"/>
      <c r="R43" s="51"/>
      <c r="S43" s="51"/>
    </row>
    <row r="44" spans="2:20" x14ac:dyDescent="0.25">
      <c r="B44" s="12"/>
      <c r="C44" s="13"/>
      <c r="D44" s="13"/>
      <c r="E44" s="41"/>
      <c r="F44" s="15"/>
      <c r="G44" s="15"/>
      <c r="H44" s="15"/>
      <c r="I44" s="15"/>
      <c r="J44" s="15"/>
      <c r="K44" s="15"/>
      <c r="L44" s="16"/>
      <c r="M44" s="20"/>
      <c r="N44" s="18"/>
      <c r="O44" s="18"/>
      <c r="P44" s="18"/>
      <c r="Q44" s="51"/>
      <c r="R44" s="51"/>
      <c r="S44" s="51"/>
    </row>
    <row r="45" spans="2:20" x14ac:dyDescent="0.25">
      <c r="B45" s="12"/>
      <c r="C45" s="13"/>
      <c r="D45" s="13"/>
      <c r="E45" s="41"/>
      <c r="F45" s="15"/>
      <c r="G45" s="15"/>
      <c r="H45" s="15"/>
      <c r="I45" s="15"/>
      <c r="J45" s="15"/>
      <c r="K45" s="15"/>
      <c r="L45" s="16"/>
      <c r="M45" s="20"/>
      <c r="N45" s="18"/>
      <c r="O45" s="18"/>
      <c r="P45" s="18"/>
    </row>
    <row r="46" spans="2:20" ht="15" customHeight="1" x14ac:dyDescent="0.25">
      <c r="B46" s="12"/>
      <c r="C46" s="13"/>
      <c r="D46" s="13"/>
      <c r="E46" s="41"/>
      <c r="F46" s="15"/>
      <c r="G46" s="15"/>
      <c r="H46" s="15"/>
      <c r="I46" s="15"/>
      <c r="J46" s="15"/>
      <c r="K46" s="15"/>
      <c r="L46" s="33"/>
      <c r="M46" s="31"/>
      <c r="N46" s="107"/>
      <c r="O46" s="29"/>
      <c r="P46" s="18"/>
    </row>
    <row r="47" spans="2:20" x14ac:dyDescent="0.25">
      <c r="B47" s="36"/>
      <c r="C47" s="40"/>
      <c r="D47" s="40"/>
      <c r="E47" s="41"/>
      <c r="F47" s="38"/>
      <c r="G47" s="38"/>
      <c r="H47" s="38"/>
      <c r="I47" s="38"/>
      <c r="J47" s="38"/>
      <c r="K47" s="38"/>
      <c r="L47" s="33"/>
      <c r="M47" s="31"/>
      <c r="N47" s="101"/>
    </row>
    <row r="48" spans="2:20" x14ac:dyDescent="0.25">
      <c r="B48" s="36"/>
      <c r="C48" s="40"/>
      <c r="D48" s="40"/>
      <c r="E48" s="41"/>
      <c r="F48" s="38"/>
      <c r="G48" s="38"/>
      <c r="H48" s="38"/>
      <c r="I48" s="38"/>
      <c r="J48" s="38"/>
      <c r="K48" s="38"/>
      <c r="L48" s="33"/>
      <c r="M48" s="31"/>
      <c r="N48" s="101"/>
    </row>
    <row r="49" spans="2:19" ht="16.5" customHeight="1" x14ac:dyDescent="0.25">
      <c r="B49" s="36"/>
      <c r="C49" s="40"/>
      <c r="D49" s="40"/>
      <c r="E49" s="41"/>
      <c r="F49" s="38"/>
      <c r="G49" s="38"/>
      <c r="H49" s="38"/>
      <c r="I49" s="38"/>
      <c r="J49" s="38"/>
      <c r="K49" s="38"/>
      <c r="L49" s="39"/>
      <c r="M49" s="20"/>
      <c r="N49" s="101"/>
      <c r="O49" s="101"/>
      <c r="P49" s="29"/>
    </row>
    <row r="50" spans="2:19" ht="15.75" customHeight="1" x14ac:dyDescent="0.25">
      <c r="Q50" s="325" t="s">
        <v>343</v>
      </c>
      <c r="R50" s="325"/>
      <c r="S50" s="327">
        <f>S15</f>
        <v>19931.03</v>
      </c>
    </row>
    <row r="51" spans="2:19" ht="15" customHeight="1" x14ac:dyDescent="0.25">
      <c r="E51" s="21"/>
      <c r="F51" s="105"/>
      <c r="G51" s="105"/>
      <c r="H51" s="105"/>
      <c r="I51" s="105"/>
      <c r="J51" s="105"/>
      <c r="K51" s="105"/>
    </row>
    <row r="54" spans="2:19" ht="15" customHeight="1" x14ac:dyDescent="0.25"/>
  </sheetData>
  <mergeCells count="7">
    <mergeCell ref="B35:H35"/>
    <mergeCell ref="B24:F24"/>
    <mergeCell ref="Q2:S2"/>
    <mergeCell ref="Q1:S1"/>
    <mergeCell ref="B19:F19"/>
    <mergeCell ref="B21:F21"/>
    <mergeCell ref="B23:F23"/>
  </mergeCells>
  <hyperlinks>
    <hyperlink ref="B24" r:id="rId1"/>
  </hyperlinks>
  <printOptions horizontalCentered="1" gridLines="1"/>
  <pageMargins left="0" right="0" top="0.75" bottom="0.75" header="0.3" footer="0.3"/>
  <pageSetup scale="54" orientation="landscape" horizontalDpi="1200" verticalDpi="1200"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4"/>
  <sheetViews>
    <sheetView topLeftCell="C24" zoomScale="90" zoomScaleNormal="90" workbookViewId="0">
      <selection activeCell="S51" sqref="S51"/>
    </sheetView>
  </sheetViews>
  <sheetFormatPr defaultColWidth="9.140625" defaultRowHeight="15" x14ac:dyDescent="0.25"/>
  <cols>
    <col min="1" max="1" width="9.140625" style="2" hidden="1" customWidth="1"/>
    <col min="2" max="2" width="58" style="2" customWidth="1"/>
    <col min="3" max="3" width="26.140625" style="2" customWidth="1"/>
    <col min="4" max="4" width="13.7109375" style="2" customWidth="1"/>
    <col min="5" max="5" width="17.7109375" style="2" customWidth="1"/>
    <col min="6" max="6" width="21.7109375" style="2" customWidth="1"/>
    <col min="7" max="7" width="10.28515625" style="2" customWidth="1"/>
    <col min="8" max="8" width="12.85546875" style="2" customWidth="1"/>
    <col min="9" max="9" width="13.42578125" style="2" customWidth="1"/>
    <col min="10" max="10" width="15.7109375" style="2" customWidth="1"/>
    <col min="11" max="11" width="8.85546875" style="2" customWidth="1"/>
    <col min="12" max="12" width="19.28515625" style="2" customWidth="1"/>
    <col min="13" max="13" width="14" style="2" bestFit="1" customWidth="1"/>
    <col min="14" max="14" width="13.7109375" style="2" customWidth="1"/>
    <col min="15" max="15" width="14.42578125" style="2" customWidth="1"/>
    <col min="16" max="16" width="3.140625" style="2" customWidth="1"/>
    <col min="17" max="17" width="14.28515625" style="2" customWidth="1"/>
    <col min="18" max="18" width="14.140625" style="2" customWidth="1"/>
    <col min="19" max="19" width="16.7109375" style="2" customWidth="1"/>
    <col min="20" max="16384" width="9.140625" style="2"/>
  </cols>
  <sheetData>
    <row r="1" spans="1:20" ht="18" customHeight="1" x14ac:dyDescent="0.25">
      <c r="A1" s="2" t="s">
        <v>342</v>
      </c>
      <c r="B1" s="1" t="s">
        <v>21</v>
      </c>
      <c r="Q1" s="335" t="s">
        <v>230</v>
      </c>
      <c r="R1" s="335"/>
      <c r="S1" s="335"/>
    </row>
    <row r="2" spans="1:20" ht="18" customHeight="1" x14ac:dyDescent="0.25">
      <c r="B2" s="90" t="s">
        <v>148</v>
      </c>
      <c r="C2" s="187">
        <v>44377</v>
      </c>
      <c r="M2" s="73"/>
      <c r="N2" s="73"/>
      <c r="P2" s="29"/>
      <c r="Q2" s="334" t="s">
        <v>338</v>
      </c>
      <c r="R2" s="334"/>
      <c r="S2" s="334"/>
    </row>
    <row r="3" spans="1:20" ht="18" customHeight="1" thickBot="1" x14ac:dyDescent="0.3">
      <c r="A3" s="2" t="s">
        <v>16</v>
      </c>
      <c r="B3" s="44" t="s">
        <v>70</v>
      </c>
      <c r="C3" s="8"/>
      <c r="D3" s="8"/>
      <c r="E3" s="8"/>
      <c r="P3" s="29"/>
      <c r="Q3" s="45"/>
      <c r="R3" s="30"/>
    </row>
    <row r="4" spans="1:20" ht="18.75" customHeight="1" x14ac:dyDescent="0.25">
      <c r="B4" s="8" t="s">
        <v>174</v>
      </c>
      <c r="M4" s="87" t="s">
        <v>28</v>
      </c>
      <c r="N4" s="87" t="s">
        <v>28</v>
      </c>
      <c r="O4" s="87" t="s">
        <v>28</v>
      </c>
      <c r="P4" s="9"/>
      <c r="Q4" s="91" t="s">
        <v>29</v>
      </c>
      <c r="R4" s="91" t="s">
        <v>31</v>
      </c>
      <c r="S4" s="91" t="s">
        <v>23</v>
      </c>
      <c r="T4" s="7"/>
    </row>
    <row r="5" spans="1:20" ht="15.75" thickBot="1" x14ac:dyDescent="0.3">
      <c r="G5" s="188" t="s">
        <v>231</v>
      </c>
      <c r="H5" s="188" t="s">
        <v>231</v>
      </c>
      <c r="M5" s="88" t="s">
        <v>27</v>
      </c>
      <c r="N5" s="88" t="s">
        <v>26</v>
      </c>
      <c r="O5" s="88" t="s">
        <v>25</v>
      </c>
      <c r="P5" s="9"/>
      <c r="Q5" s="92" t="s">
        <v>30</v>
      </c>
      <c r="R5" s="92" t="s">
        <v>30</v>
      </c>
      <c r="S5" s="92" t="s">
        <v>30</v>
      </c>
      <c r="T5" s="7"/>
    </row>
    <row r="6" spans="1:20" ht="85.5" customHeight="1" thickBot="1" x14ac:dyDescent="0.3">
      <c r="B6" s="86" t="s">
        <v>1</v>
      </c>
      <c r="C6" s="86" t="s">
        <v>127</v>
      </c>
      <c r="D6" s="86" t="s">
        <v>107</v>
      </c>
      <c r="E6" s="86" t="s">
        <v>3</v>
      </c>
      <c r="F6" s="86" t="s">
        <v>4</v>
      </c>
      <c r="G6" s="110" t="s">
        <v>136</v>
      </c>
      <c r="H6" s="110" t="s">
        <v>137</v>
      </c>
      <c r="I6" s="110" t="s">
        <v>133</v>
      </c>
      <c r="J6" s="110" t="s">
        <v>134</v>
      </c>
      <c r="K6" s="110" t="s">
        <v>121</v>
      </c>
      <c r="L6" s="85" t="s">
        <v>5</v>
      </c>
      <c r="M6" s="89" t="s">
        <v>6</v>
      </c>
      <c r="N6" s="89" t="s">
        <v>6</v>
      </c>
      <c r="O6" s="89" t="s">
        <v>6</v>
      </c>
      <c r="P6" s="9"/>
      <c r="Q6" s="93"/>
      <c r="R6" s="99" t="s">
        <v>32</v>
      </c>
      <c r="S6" s="100" t="s">
        <v>33</v>
      </c>
    </row>
    <row r="7" spans="1:20" ht="26.25" customHeight="1" x14ac:dyDescent="0.25">
      <c r="B7" s="2" t="s">
        <v>8</v>
      </c>
      <c r="C7" s="94" t="s">
        <v>106</v>
      </c>
      <c r="D7" s="94" t="s">
        <v>246</v>
      </c>
      <c r="E7" s="2" t="s">
        <v>232</v>
      </c>
      <c r="F7" s="2" t="s">
        <v>7</v>
      </c>
      <c r="G7" s="191">
        <v>2.9600000000000001E-2</v>
      </c>
      <c r="H7" s="191">
        <v>0.1744</v>
      </c>
      <c r="I7" s="192">
        <v>44377</v>
      </c>
      <c r="J7" s="192">
        <v>44378</v>
      </c>
      <c r="K7" s="192">
        <v>44013</v>
      </c>
      <c r="L7" s="193" t="s">
        <v>234</v>
      </c>
      <c r="M7" s="72">
        <v>444826.74</v>
      </c>
      <c r="N7" s="72">
        <f>445266.24-M7</f>
        <v>439.5</v>
      </c>
      <c r="O7" s="69">
        <f t="shared" ref="O7:O12" si="0">M7+N7</f>
        <v>445266.24</v>
      </c>
      <c r="P7" s="153"/>
      <c r="Q7" s="72">
        <f>80052.07+94542.9+53076.64+61330.63+96325.64+23716.94</f>
        <v>409044.82</v>
      </c>
      <c r="R7" s="60"/>
      <c r="S7" s="164">
        <f t="shared" ref="S7:S12" si="1">Q7+R7</f>
        <v>409044.82</v>
      </c>
    </row>
    <row r="8" spans="1:20" ht="33" customHeight="1" x14ac:dyDescent="0.25">
      <c r="B8" s="2" t="s">
        <v>128</v>
      </c>
      <c r="C8" s="231" t="s">
        <v>122</v>
      </c>
      <c r="D8" s="95" t="s">
        <v>248</v>
      </c>
      <c r="E8" s="2" t="s">
        <v>233</v>
      </c>
      <c r="F8" s="2" t="s">
        <v>7</v>
      </c>
      <c r="G8" s="191">
        <f>+G7</f>
        <v>2.9600000000000001E-2</v>
      </c>
      <c r="H8" s="191">
        <f t="shared" ref="H8:L8" si="2">+H7</f>
        <v>0.1744</v>
      </c>
      <c r="I8" s="192">
        <f t="shared" si="2"/>
        <v>44377</v>
      </c>
      <c r="J8" s="192">
        <f t="shared" si="2"/>
        <v>44378</v>
      </c>
      <c r="K8" s="192">
        <f t="shared" si="2"/>
        <v>44013</v>
      </c>
      <c r="L8" s="193" t="str">
        <f t="shared" si="2"/>
        <v>07/01/20 - 06/30/21</v>
      </c>
      <c r="M8" s="72">
        <v>44494.97</v>
      </c>
      <c r="N8" s="153"/>
      <c r="O8" s="69">
        <f t="shared" si="0"/>
        <v>44494.97</v>
      </c>
      <c r="P8" s="153"/>
      <c r="Q8" s="72">
        <v>44494.97</v>
      </c>
      <c r="R8" s="60"/>
      <c r="S8" s="83">
        <f t="shared" si="1"/>
        <v>44494.97</v>
      </c>
    </row>
    <row r="9" spans="1:20" ht="25.9" customHeight="1" x14ac:dyDescent="0.25">
      <c r="B9" s="2" t="s">
        <v>146</v>
      </c>
      <c r="C9" s="94" t="s">
        <v>186</v>
      </c>
      <c r="D9" s="94" t="s">
        <v>226</v>
      </c>
      <c r="E9" s="2" t="s">
        <v>227</v>
      </c>
      <c r="F9" s="2" t="s">
        <v>7</v>
      </c>
      <c r="G9" s="191">
        <v>2.9600000000000001E-2</v>
      </c>
      <c r="H9" s="191">
        <v>0.1744</v>
      </c>
      <c r="I9" s="192">
        <v>44043</v>
      </c>
      <c r="J9" s="192">
        <v>44058</v>
      </c>
      <c r="K9" s="192">
        <v>43647</v>
      </c>
      <c r="L9" s="193" t="s">
        <v>313</v>
      </c>
      <c r="M9" s="6">
        <v>168076</v>
      </c>
      <c r="N9" s="240"/>
      <c r="O9" s="69">
        <f t="shared" si="0"/>
        <v>168076</v>
      </c>
      <c r="P9" s="69"/>
      <c r="Q9" s="72">
        <f>35620.3-704.5</f>
        <v>34915.800000000003</v>
      </c>
      <c r="R9" s="69"/>
      <c r="S9" s="83">
        <f t="shared" si="1"/>
        <v>34915.800000000003</v>
      </c>
    </row>
    <row r="10" spans="1:20" ht="25.9" customHeight="1" x14ac:dyDescent="0.25">
      <c r="B10" s="2" t="s">
        <v>146</v>
      </c>
      <c r="C10" s="94" t="s">
        <v>186</v>
      </c>
      <c r="D10" s="94" t="s">
        <v>299</v>
      </c>
      <c r="E10" s="2" t="s">
        <v>300</v>
      </c>
      <c r="F10" s="2" t="s">
        <v>7</v>
      </c>
      <c r="G10" s="191">
        <v>2.9600000000000001E-2</v>
      </c>
      <c r="H10" s="191">
        <v>0.1744</v>
      </c>
      <c r="I10" s="192">
        <v>44408</v>
      </c>
      <c r="J10" s="192">
        <v>44423</v>
      </c>
      <c r="K10" s="192">
        <v>44013</v>
      </c>
      <c r="L10" s="193" t="s">
        <v>317</v>
      </c>
      <c r="M10" s="6">
        <v>210096</v>
      </c>
      <c r="N10" s="69"/>
      <c r="O10" s="69">
        <f t="shared" si="0"/>
        <v>210096</v>
      </c>
      <c r="P10" s="69"/>
      <c r="Q10" s="72">
        <v>56093</v>
      </c>
      <c r="R10" s="69"/>
      <c r="S10" s="83">
        <f t="shared" si="1"/>
        <v>56093</v>
      </c>
    </row>
    <row r="11" spans="1:20" ht="33" customHeight="1" x14ac:dyDescent="0.25">
      <c r="B11" s="2" t="s">
        <v>241</v>
      </c>
      <c r="C11" s="243" t="s">
        <v>242</v>
      </c>
      <c r="D11" s="95" t="s">
        <v>243</v>
      </c>
      <c r="E11" s="2" t="s">
        <v>244</v>
      </c>
      <c r="F11" s="2" t="s">
        <v>7</v>
      </c>
      <c r="G11" s="191">
        <v>2.9600000000000001E-2</v>
      </c>
      <c r="H11" s="191">
        <v>0.1744</v>
      </c>
      <c r="I11" s="192">
        <v>44834</v>
      </c>
      <c r="J11" s="192">
        <v>44849</v>
      </c>
      <c r="K11" s="192">
        <v>43614</v>
      </c>
      <c r="L11" s="193" t="s">
        <v>311</v>
      </c>
      <c r="M11" s="6">
        <v>188474.89</v>
      </c>
      <c r="N11" s="69"/>
      <c r="O11" s="69">
        <f t="shared" si="0"/>
        <v>188474.89</v>
      </c>
      <c r="P11" s="69"/>
      <c r="Q11" s="72"/>
      <c r="R11" s="69"/>
      <c r="S11" s="83">
        <f t="shared" si="1"/>
        <v>0</v>
      </c>
    </row>
    <row r="12" spans="1:20" ht="26.25" customHeight="1" x14ac:dyDescent="0.25">
      <c r="B12" s="2" t="s">
        <v>283</v>
      </c>
      <c r="C12" s="243" t="s">
        <v>264</v>
      </c>
      <c r="D12" s="95" t="s">
        <v>254</v>
      </c>
      <c r="E12" s="2" t="s">
        <v>284</v>
      </c>
      <c r="F12" s="2" t="s">
        <v>7</v>
      </c>
      <c r="G12" s="191">
        <f t="shared" ref="G12:H12" si="3">+G11</f>
        <v>2.9600000000000001E-2</v>
      </c>
      <c r="H12" s="191">
        <f t="shared" si="3"/>
        <v>0.1744</v>
      </c>
      <c r="I12" s="192">
        <v>44377</v>
      </c>
      <c r="J12" s="192">
        <v>44392</v>
      </c>
      <c r="K12" s="192">
        <v>43613</v>
      </c>
      <c r="L12" s="193" t="s">
        <v>234</v>
      </c>
      <c r="M12" s="81">
        <v>7302.48</v>
      </c>
      <c r="N12" s="69"/>
      <c r="O12" s="69">
        <f t="shared" si="0"/>
        <v>7302.48</v>
      </c>
      <c r="P12" s="69"/>
      <c r="Q12" s="69"/>
      <c r="R12" s="69"/>
      <c r="S12" s="70">
        <f t="shared" si="1"/>
        <v>0</v>
      </c>
    </row>
    <row r="13" spans="1:20" ht="26.25" customHeight="1" x14ac:dyDescent="0.25">
      <c r="B13" s="2" t="s">
        <v>314</v>
      </c>
      <c r="C13" s="243" t="s">
        <v>242</v>
      </c>
      <c r="D13" s="95" t="s">
        <v>243</v>
      </c>
      <c r="E13" s="2" t="s">
        <v>315</v>
      </c>
      <c r="F13" s="2" t="s">
        <v>7</v>
      </c>
      <c r="G13" s="313">
        <f>+G11</f>
        <v>2.9600000000000001E-2</v>
      </c>
      <c r="H13" s="313">
        <f>+H11</f>
        <v>0.1744</v>
      </c>
      <c r="I13" s="312">
        <v>44773</v>
      </c>
      <c r="J13" s="312">
        <v>44788</v>
      </c>
      <c r="K13" s="192">
        <v>43980</v>
      </c>
      <c r="L13" s="193" t="s">
        <v>316</v>
      </c>
      <c r="M13" s="81">
        <v>10154.91</v>
      </c>
      <c r="N13" s="72"/>
      <c r="O13" s="69">
        <f>M13+N13</f>
        <v>10154.91</v>
      </c>
      <c r="P13" s="69"/>
      <c r="Q13" s="69"/>
      <c r="R13" s="69"/>
      <c r="S13" s="70">
        <f>Q13+R13</f>
        <v>0</v>
      </c>
    </row>
    <row r="14" spans="1:20" ht="26.25" customHeight="1" x14ac:dyDescent="0.25">
      <c r="B14" s="2" t="s">
        <v>318</v>
      </c>
      <c r="C14" s="243" t="s">
        <v>242</v>
      </c>
      <c r="D14" s="95" t="s">
        <v>243</v>
      </c>
      <c r="E14" s="2" t="s">
        <v>319</v>
      </c>
      <c r="F14" s="2" t="s">
        <v>7</v>
      </c>
      <c r="G14" s="191">
        <v>2.9600000000000001E-2</v>
      </c>
      <c r="H14" s="191">
        <v>0.1744</v>
      </c>
      <c r="I14" s="192">
        <v>44561</v>
      </c>
      <c r="J14" s="192">
        <v>44576</v>
      </c>
      <c r="K14" s="192">
        <v>43980</v>
      </c>
      <c r="L14" s="193" t="s">
        <v>320</v>
      </c>
      <c r="M14" s="81">
        <v>3000</v>
      </c>
      <c r="N14" s="69"/>
      <c r="O14" s="69">
        <f t="shared" ref="O14:O16" si="4">M14+N14</f>
        <v>3000</v>
      </c>
      <c r="P14" s="68"/>
      <c r="Q14" s="69"/>
      <c r="R14" s="69"/>
      <c r="S14" s="70">
        <f t="shared" ref="S14:S16" si="5">Q14+R14</f>
        <v>0</v>
      </c>
    </row>
    <row r="15" spans="1:20" ht="26.25" customHeight="1" x14ac:dyDescent="0.25">
      <c r="B15" s="2" t="s">
        <v>321</v>
      </c>
      <c r="C15" s="243" t="s">
        <v>264</v>
      </c>
      <c r="D15" s="95" t="s">
        <v>254</v>
      </c>
      <c r="E15" s="2" t="s">
        <v>322</v>
      </c>
      <c r="F15" s="2" t="s">
        <v>7</v>
      </c>
      <c r="G15" s="191">
        <v>2.9600000000000001E-2</v>
      </c>
      <c r="H15" s="191">
        <v>0.1744</v>
      </c>
      <c r="I15" s="192">
        <v>44742</v>
      </c>
      <c r="J15" s="192">
        <v>44757</v>
      </c>
      <c r="K15" s="192">
        <v>43979</v>
      </c>
      <c r="L15" s="193" t="s">
        <v>323</v>
      </c>
      <c r="M15" s="81">
        <v>1027</v>
      </c>
      <c r="N15" s="69"/>
      <c r="O15" s="69">
        <f t="shared" si="4"/>
        <v>1027</v>
      </c>
      <c r="P15" s="68"/>
      <c r="Q15" s="69"/>
      <c r="R15" s="69"/>
      <c r="S15" s="70">
        <f t="shared" si="5"/>
        <v>0</v>
      </c>
    </row>
    <row r="16" spans="1:20" ht="26.25" customHeight="1" x14ac:dyDescent="0.25">
      <c r="B16" s="2" t="s">
        <v>327</v>
      </c>
      <c r="C16" s="243" t="s">
        <v>242</v>
      </c>
      <c r="D16" s="95" t="s">
        <v>328</v>
      </c>
      <c r="E16" s="2" t="s">
        <v>329</v>
      </c>
      <c r="F16" s="2" t="s">
        <v>7</v>
      </c>
      <c r="G16" s="191">
        <v>2.9600000000000001E-2</v>
      </c>
      <c r="H16" s="191">
        <v>0.1744</v>
      </c>
      <c r="I16" s="192">
        <v>44440</v>
      </c>
      <c r="J16" s="192">
        <v>44440</v>
      </c>
      <c r="K16" s="192">
        <v>44201</v>
      </c>
      <c r="L16" s="193" t="s">
        <v>330</v>
      </c>
      <c r="M16" s="81">
        <v>411928.33</v>
      </c>
      <c r="N16" s="69"/>
      <c r="O16" s="69">
        <f t="shared" si="4"/>
        <v>411928.33</v>
      </c>
      <c r="P16" s="68"/>
      <c r="Q16" s="69"/>
      <c r="R16" s="69"/>
      <c r="S16" s="70">
        <f t="shared" si="5"/>
        <v>0</v>
      </c>
    </row>
    <row r="17" spans="2:19" x14ac:dyDescent="0.25">
      <c r="C17" s="94"/>
      <c r="D17" s="94"/>
      <c r="G17" s="191"/>
      <c r="H17" s="191"/>
      <c r="I17" s="192"/>
      <c r="J17" s="192"/>
      <c r="K17" s="192"/>
      <c r="L17" s="193"/>
      <c r="M17" s="6"/>
      <c r="N17" s="69"/>
      <c r="O17" s="69"/>
      <c r="P17" s="69"/>
      <c r="Q17" s="72"/>
      <c r="R17" s="69"/>
      <c r="S17" s="83"/>
    </row>
    <row r="18" spans="2:19" ht="21.75" customHeight="1" x14ac:dyDescent="0.25">
      <c r="C18" s="94"/>
      <c r="D18" s="94"/>
      <c r="I18" s="119"/>
      <c r="J18" s="119"/>
      <c r="K18" s="119"/>
      <c r="L18" s="5" t="s">
        <v>38</v>
      </c>
      <c r="M18" s="284">
        <f>SUM(M7:M17)</f>
        <v>1489381.32</v>
      </c>
      <c r="N18" s="284">
        <f t="shared" ref="N18:O18" si="6">SUM(N7:N17)</f>
        <v>439.5</v>
      </c>
      <c r="O18" s="284">
        <f t="shared" si="6"/>
        <v>1489820.82</v>
      </c>
      <c r="Q18" s="284">
        <f t="shared" ref="Q18:S18" si="7">SUM(Q7:Q17)</f>
        <v>544548.59000000008</v>
      </c>
      <c r="R18" s="284">
        <f t="shared" si="7"/>
        <v>0</v>
      </c>
      <c r="S18" s="23">
        <f t="shared" si="7"/>
        <v>544548.59000000008</v>
      </c>
    </row>
    <row r="19" spans="2:19" x14ac:dyDescent="0.25">
      <c r="C19" s="94"/>
      <c r="D19" s="94"/>
      <c r="L19" s="5"/>
      <c r="M19" s="68"/>
      <c r="N19" s="68"/>
      <c r="O19" s="68"/>
      <c r="Q19" s="68"/>
      <c r="R19" s="68"/>
      <c r="S19" s="70"/>
    </row>
    <row r="20" spans="2:19" x14ac:dyDescent="0.25">
      <c r="C20" s="94"/>
      <c r="D20" s="94"/>
      <c r="L20" s="5"/>
      <c r="M20" s="68"/>
      <c r="N20" s="68"/>
      <c r="O20" s="68"/>
      <c r="Q20" s="68"/>
      <c r="R20" s="68"/>
      <c r="S20" s="70"/>
    </row>
    <row r="21" spans="2:19" x14ac:dyDescent="0.25">
      <c r="B21" s="8" t="s">
        <v>125</v>
      </c>
      <c r="C21" s="94"/>
      <c r="D21" s="94"/>
      <c r="L21" s="5"/>
      <c r="M21" s="68"/>
      <c r="N21" s="68"/>
      <c r="O21" s="68"/>
      <c r="Q21" s="68"/>
      <c r="R21" s="68"/>
      <c r="S21" s="70"/>
    </row>
    <row r="22" spans="2:19" ht="33.75" customHeight="1" x14ac:dyDescent="0.25">
      <c r="B22" s="338" t="s">
        <v>126</v>
      </c>
      <c r="C22" s="338"/>
      <c r="D22" s="338"/>
      <c r="E22" s="338"/>
      <c r="F22" s="338"/>
      <c r="G22" s="120"/>
      <c r="H22" s="120"/>
      <c r="I22" s="114"/>
      <c r="L22" s="5"/>
      <c r="M22" s="68"/>
      <c r="N22" s="68"/>
      <c r="O22" s="68"/>
      <c r="Q22" s="68"/>
      <c r="R22" s="68"/>
      <c r="S22" s="70"/>
    </row>
    <row r="23" spans="2:19" x14ac:dyDescent="0.25">
      <c r="C23" s="94"/>
      <c r="D23" s="94"/>
      <c r="L23" s="5"/>
      <c r="M23" s="68"/>
      <c r="N23" s="68"/>
      <c r="O23" s="68"/>
      <c r="Q23" s="68"/>
      <c r="R23" s="68"/>
      <c r="S23" s="70"/>
    </row>
    <row r="24" spans="2:19" ht="44.25" customHeight="1" x14ac:dyDescent="0.25">
      <c r="B24" s="338" t="s">
        <v>129</v>
      </c>
      <c r="C24" s="338"/>
      <c r="D24" s="338"/>
      <c r="E24" s="338"/>
      <c r="F24" s="338"/>
      <c r="G24" s="120"/>
      <c r="H24" s="120"/>
      <c r="I24" s="114"/>
      <c r="L24" s="5"/>
      <c r="M24" s="68"/>
      <c r="N24" s="68"/>
      <c r="O24" s="68"/>
      <c r="Q24" s="68"/>
      <c r="R24" s="68"/>
      <c r="S24" s="70"/>
    </row>
    <row r="25" spans="2:19" x14ac:dyDescent="0.25">
      <c r="B25" s="111"/>
      <c r="C25" s="111"/>
      <c r="D25" s="111"/>
      <c r="E25" s="111"/>
      <c r="F25" s="111"/>
      <c r="G25" s="120"/>
      <c r="H25" s="120"/>
      <c r="I25" s="114"/>
      <c r="L25" s="5"/>
      <c r="M25" s="68"/>
      <c r="N25" s="68"/>
      <c r="O25" s="68"/>
      <c r="Q25" s="68"/>
      <c r="R25" s="68"/>
      <c r="S25" s="70"/>
    </row>
    <row r="26" spans="2:19" ht="32.25" customHeight="1" x14ac:dyDescent="0.25">
      <c r="B26" s="338" t="s">
        <v>160</v>
      </c>
      <c r="C26" s="338"/>
      <c r="D26" s="338"/>
      <c r="E26" s="338"/>
      <c r="F26" s="338"/>
      <c r="G26" s="198"/>
      <c r="H26" s="198"/>
      <c r="I26" s="198"/>
      <c r="L26" s="5"/>
      <c r="M26" s="68"/>
      <c r="N26" s="68"/>
      <c r="O26" s="68"/>
      <c r="Q26" s="68"/>
      <c r="R26" s="68"/>
      <c r="S26" s="70"/>
    </row>
    <row r="27" spans="2:19" ht="15" customHeight="1" x14ac:dyDescent="0.25">
      <c r="B27" s="346" t="s">
        <v>159</v>
      </c>
      <c r="C27" s="338"/>
      <c r="D27" s="338"/>
      <c r="E27" s="338"/>
      <c r="F27" s="338"/>
      <c r="G27" s="198"/>
      <c r="H27" s="198"/>
      <c r="I27" s="198"/>
      <c r="L27" s="5"/>
      <c r="M27" s="68"/>
      <c r="N27" s="68"/>
      <c r="O27" s="68"/>
      <c r="Q27" s="68"/>
      <c r="R27" s="68"/>
      <c r="S27" s="70"/>
    </row>
    <row r="28" spans="2:19" ht="15" customHeight="1" x14ac:dyDescent="0.25">
      <c r="B28" s="200"/>
      <c r="C28" s="200"/>
      <c r="D28" s="200"/>
      <c r="E28" s="200"/>
      <c r="F28" s="200"/>
      <c r="G28" s="200"/>
      <c r="H28" s="200"/>
      <c r="I28" s="200"/>
      <c r="L28" s="5"/>
      <c r="M28" s="68"/>
      <c r="N28" s="68"/>
      <c r="O28" s="68"/>
      <c r="Q28" s="68"/>
      <c r="R28" s="68"/>
      <c r="S28" s="70"/>
    </row>
    <row r="29" spans="2:19" x14ac:dyDescent="0.25">
      <c r="B29" s="7" t="s">
        <v>109</v>
      </c>
      <c r="C29" s="104" t="s">
        <v>112</v>
      </c>
      <c r="D29" s="104" t="s">
        <v>113</v>
      </c>
      <c r="E29" s="111"/>
      <c r="F29" s="111"/>
      <c r="G29" s="120"/>
      <c r="H29" s="120"/>
      <c r="I29" s="114"/>
      <c r="L29" s="5"/>
      <c r="M29" s="68"/>
      <c r="N29" s="68"/>
      <c r="O29" s="68"/>
      <c r="Q29" s="68"/>
      <c r="R29" s="68"/>
      <c r="S29" s="70"/>
    </row>
    <row r="30" spans="2:19" x14ac:dyDescent="0.25">
      <c r="B30" s="2" t="s">
        <v>110</v>
      </c>
      <c r="C30" s="94" t="s">
        <v>116</v>
      </c>
      <c r="D30" s="94" t="s">
        <v>118</v>
      </c>
      <c r="E30" s="111"/>
      <c r="F30" s="111"/>
      <c r="G30" s="120"/>
      <c r="H30" s="120"/>
      <c r="I30" s="114"/>
      <c r="L30" s="5"/>
      <c r="M30" s="68"/>
      <c r="N30" s="68"/>
      <c r="O30" s="68"/>
      <c r="Q30" s="68"/>
      <c r="R30" s="68"/>
      <c r="S30" s="70"/>
    </row>
    <row r="31" spans="2:19" x14ac:dyDescent="0.25">
      <c r="B31" s="2" t="s">
        <v>111</v>
      </c>
      <c r="C31" s="94" t="s">
        <v>114</v>
      </c>
      <c r="D31" s="94" t="s">
        <v>119</v>
      </c>
      <c r="L31" s="5"/>
      <c r="M31" s="68"/>
      <c r="N31" s="68"/>
      <c r="O31" s="68"/>
      <c r="Q31" s="68"/>
      <c r="R31" s="68"/>
      <c r="S31" s="70"/>
    </row>
    <row r="32" spans="2:19" x14ac:dyDescent="0.25">
      <c r="B32" s="2" t="s">
        <v>200</v>
      </c>
      <c r="C32" s="94" t="s">
        <v>135</v>
      </c>
      <c r="D32" s="94" t="s">
        <v>147</v>
      </c>
      <c r="L32" s="5"/>
      <c r="M32" s="68"/>
      <c r="N32" s="68"/>
      <c r="O32" s="68"/>
      <c r="Q32" s="68"/>
      <c r="R32" s="68"/>
      <c r="S32" s="70"/>
    </row>
    <row r="33" spans="2:19" x14ac:dyDescent="0.25">
      <c r="B33" s="2" t="s">
        <v>252</v>
      </c>
      <c r="C33" s="94" t="s">
        <v>135</v>
      </c>
      <c r="D33" s="94" t="s">
        <v>147</v>
      </c>
      <c r="L33" s="5"/>
      <c r="M33" s="68"/>
      <c r="N33" s="68"/>
      <c r="O33" s="68"/>
      <c r="Q33" s="68"/>
      <c r="R33" s="68"/>
      <c r="S33" s="70"/>
    </row>
    <row r="34" spans="2:19" x14ac:dyDescent="0.25">
      <c r="B34" s="2" t="s">
        <v>260</v>
      </c>
      <c r="C34" s="94" t="s">
        <v>135</v>
      </c>
      <c r="D34" s="94" t="s">
        <v>147</v>
      </c>
      <c r="L34" s="5"/>
      <c r="M34" s="68"/>
      <c r="N34" s="68"/>
      <c r="O34" s="68"/>
      <c r="Q34" s="68"/>
      <c r="R34" s="68"/>
      <c r="S34" s="70"/>
    </row>
    <row r="35" spans="2:19" x14ac:dyDescent="0.25">
      <c r="B35" s="2" t="s">
        <v>314</v>
      </c>
      <c r="C35" s="94" t="s">
        <v>135</v>
      </c>
      <c r="D35" s="94" t="s">
        <v>147</v>
      </c>
      <c r="L35" s="5"/>
      <c r="M35" s="68"/>
      <c r="N35" s="68"/>
      <c r="O35" s="68"/>
      <c r="Q35" s="68"/>
      <c r="R35" s="68"/>
      <c r="S35" s="70"/>
    </row>
    <row r="36" spans="2:19" x14ac:dyDescent="0.25">
      <c r="B36" s="2" t="s">
        <v>318</v>
      </c>
      <c r="C36" s="94" t="s">
        <v>135</v>
      </c>
      <c r="D36" s="94" t="s">
        <v>147</v>
      </c>
      <c r="L36" s="5"/>
      <c r="M36" s="68"/>
      <c r="N36" s="68"/>
      <c r="O36" s="68"/>
      <c r="Q36" s="68"/>
      <c r="R36" s="68"/>
      <c r="S36" s="70"/>
    </row>
    <row r="37" spans="2:19" x14ac:dyDescent="0.25">
      <c r="B37" s="2" t="s">
        <v>321</v>
      </c>
      <c r="C37" s="94" t="s">
        <v>135</v>
      </c>
      <c r="D37" s="94" t="s">
        <v>147</v>
      </c>
      <c r="L37" s="5"/>
      <c r="M37" s="68"/>
      <c r="N37" s="68"/>
      <c r="O37" s="68"/>
      <c r="Q37" s="68"/>
      <c r="R37" s="68"/>
      <c r="S37" s="70"/>
    </row>
    <row r="38" spans="2:19" x14ac:dyDescent="0.25">
      <c r="B38" s="2" t="s">
        <v>326</v>
      </c>
      <c r="C38" s="94" t="s">
        <v>135</v>
      </c>
      <c r="D38" s="94" t="s">
        <v>147</v>
      </c>
      <c r="L38" s="5"/>
      <c r="M38" s="68"/>
      <c r="N38" s="68"/>
      <c r="O38" s="68"/>
      <c r="Q38" s="68"/>
      <c r="R38" s="68"/>
      <c r="S38" s="70"/>
    </row>
    <row r="39" spans="2:19" x14ac:dyDescent="0.25">
      <c r="C39" s="94"/>
      <c r="D39" s="94"/>
      <c r="L39" s="5"/>
      <c r="M39" s="68"/>
      <c r="N39" s="68"/>
      <c r="O39" s="68"/>
      <c r="Q39" s="68"/>
      <c r="R39" s="68"/>
      <c r="S39" s="70"/>
    </row>
    <row r="40" spans="2:19" x14ac:dyDescent="0.25">
      <c r="B40" s="347" t="s">
        <v>235</v>
      </c>
      <c r="C40" s="333"/>
      <c r="D40" s="333"/>
      <c r="E40" s="333"/>
      <c r="F40" s="333"/>
      <c r="G40" s="333"/>
      <c r="H40" s="333"/>
      <c r="L40" s="5"/>
      <c r="M40" s="68"/>
      <c r="N40" s="68"/>
      <c r="O40" s="68"/>
      <c r="Q40" s="68"/>
      <c r="R40" s="68"/>
      <c r="S40" s="70"/>
    </row>
    <row r="41" spans="2:19" x14ac:dyDescent="0.25">
      <c r="B41" s="266" t="s">
        <v>236</v>
      </c>
      <c r="C41" s="94"/>
      <c r="D41" s="94"/>
      <c r="L41" s="5"/>
      <c r="M41" s="68"/>
      <c r="N41" s="68"/>
      <c r="O41" s="68"/>
      <c r="Q41" s="68"/>
      <c r="R41" s="68"/>
      <c r="S41" s="70"/>
    </row>
    <row r="42" spans="2:19" ht="15" customHeight="1" x14ac:dyDescent="0.25">
      <c r="B42" s="10"/>
      <c r="C42" s="96"/>
      <c r="D42" s="96"/>
      <c r="E42" s="10"/>
      <c r="F42" s="10"/>
      <c r="G42" s="10"/>
      <c r="H42" s="10"/>
      <c r="I42" s="10"/>
      <c r="J42" s="10"/>
      <c r="K42" s="10"/>
      <c r="L42" s="10"/>
      <c r="M42" s="10"/>
      <c r="N42" s="10"/>
      <c r="O42" s="10"/>
      <c r="P42" s="10"/>
      <c r="Q42" s="10"/>
      <c r="R42" s="10"/>
      <c r="S42" s="28"/>
    </row>
    <row r="43" spans="2:19" ht="15" customHeight="1" x14ac:dyDescent="0.25">
      <c r="Q43" s="58" t="s">
        <v>90</v>
      </c>
      <c r="R43" s="51"/>
      <c r="S43" s="177"/>
    </row>
    <row r="44" spans="2:19" ht="13.15" customHeight="1" x14ac:dyDescent="0.25">
      <c r="B44" s="17" t="s">
        <v>39</v>
      </c>
      <c r="C44" s="98" t="s">
        <v>2</v>
      </c>
      <c r="D44" s="98"/>
      <c r="E44" s="98" t="s">
        <v>34</v>
      </c>
      <c r="F44" s="98" t="s">
        <v>35</v>
      </c>
      <c r="G44" s="123"/>
      <c r="H44" s="123"/>
      <c r="I44" s="117"/>
      <c r="J44" s="98"/>
      <c r="K44" s="98"/>
      <c r="L44" s="98" t="s">
        <v>36</v>
      </c>
      <c r="M44" s="98" t="s">
        <v>37</v>
      </c>
      <c r="N44" s="10"/>
      <c r="O44" s="10"/>
      <c r="P44" s="10"/>
      <c r="Q44" s="54" t="s">
        <v>88</v>
      </c>
      <c r="R44" s="54"/>
      <c r="S44" s="55"/>
    </row>
    <row r="45" spans="2:19" x14ac:dyDescent="0.25">
      <c r="B45" s="65"/>
      <c r="C45" s="9"/>
      <c r="D45" s="9"/>
      <c r="E45" s="9"/>
      <c r="F45" s="9"/>
      <c r="G45" s="9"/>
      <c r="H45" s="9"/>
      <c r="I45" s="9"/>
      <c r="J45" s="9"/>
      <c r="K45" s="9"/>
      <c r="L45" s="9"/>
      <c r="M45" s="9"/>
      <c r="Q45" s="58"/>
      <c r="R45" s="51"/>
      <c r="S45" s="51"/>
    </row>
    <row r="46" spans="2:19" x14ac:dyDescent="0.25">
      <c r="B46" s="65"/>
      <c r="C46" s="9"/>
      <c r="D46" s="9"/>
      <c r="E46" s="9"/>
      <c r="F46" s="9"/>
      <c r="G46" s="9"/>
      <c r="H46" s="9"/>
      <c r="I46" s="9"/>
      <c r="J46" s="9"/>
      <c r="K46" s="9"/>
      <c r="L46" s="9"/>
      <c r="M46" s="9"/>
      <c r="R46" s="51"/>
      <c r="S46" s="51"/>
    </row>
    <row r="47" spans="2:19" x14ac:dyDescent="0.25">
      <c r="B47" s="12"/>
      <c r="C47" s="13"/>
      <c r="D47" s="13"/>
      <c r="E47" s="41"/>
      <c r="F47" s="15"/>
      <c r="G47" s="15"/>
      <c r="H47" s="15"/>
      <c r="I47" s="15"/>
      <c r="J47" s="15"/>
      <c r="K47" s="15"/>
      <c r="L47" s="16"/>
      <c r="M47" s="20"/>
      <c r="N47" s="18"/>
      <c r="O47" s="18"/>
      <c r="P47" s="18"/>
      <c r="Q47" s="51"/>
      <c r="R47" s="51"/>
      <c r="S47" s="51"/>
    </row>
    <row r="48" spans="2:19" x14ac:dyDescent="0.25">
      <c r="B48" s="12"/>
      <c r="C48" s="13"/>
      <c r="D48" s="13"/>
      <c r="E48" s="41"/>
      <c r="F48" s="15"/>
      <c r="G48" s="15"/>
      <c r="H48" s="15"/>
      <c r="I48" s="15"/>
      <c r="J48" s="15"/>
      <c r="K48" s="15"/>
      <c r="L48" s="16"/>
      <c r="M48" s="20"/>
      <c r="N48" s="18"/>
      <c r="O48" s="18"/>
      <c r="P48" s="18"/>
      <c r="Q48" s="51"/>
      <c r="R48" s="51"/>
      <c r="S48" s="51"/>
    </row>
    <row r="49" spans="2:20" x14ac:dyDescent="0.25">
      <c r="B49" s="12"/>
      <c r="C49" s="13"/>
      <c r="D49" s="13"/>
      <c r="E49" s="41"/>
      <c r="F49" s="15"/>
      <c r="G49" s="15"/>
      <c r="H49" s="15"/>
      <c r="I49" s="15"/>
      <c r="J49" s="15"/>
      <c r="K49" s="15"/>
      <c r="L49" s="16"/>
      <c r="M49" s="20"/>
      <c r="N49" s="18"/>
      <c r="O49" s="18"/>
      <c r="P49" s="18"/>
      <c r="Q49" s="51"/>
      <c r="R49" s="51"/>
      <c r="S49" s="51"/>
    </row>
    <row r="50" spans="2:20" x14ac:dyDescent="0.25">
      <c r="B50" s="12"/>
      <c r="C50" s="13"/>
      <c r="D50" s="13"/>
      <c r="E50" s="41"/>
      <c r="F50" s="15"/>
      <c r="G50" s="15"/>
      <c r="H50" s="15"/>
      <c r="I50" s="15"/>
      <c r="J50" s="15"/>
      <c r="K50" s="15"/>
      <c r="L50" s="16"/>
      <c r="M50" s="20"/>
      <c r="N50" s="18"/>
      <c r="O50" s="18"/>
      <c r="P50" s="18"/>
      <c r="Q50" s="325" t="s">
        <v>343</v>
      </c>
      <c r="R50" s="325"/>
      <c r="S50" s="327">
        <f>S18</f>
        <v>544548.59000000008</v>
      </c>
    </row>
    <row r="51" spans="2:20" ht="15" customHeight="1" x14ac:dyDescent="0.25">
      <c r="B51" s="12"/>
      <c r="C51" s="13"/>
      <c r="D51" s="13"/>
      <c r="E51" s="41"/>
      <c r="F51" s="15"/>
      <c r="G51" s="15"/>
      <c r="H51" s="15"/>
      <c r="I51" s="15"/>
      <c r="J51" s="15"/>
      <c r="K51" s="15"/>
      <c r="L51" s="16"/>
      <c r="M51" s="20"/>
      <c r="N51" s="46"/>
      <c r="O51" s="46"/>
      <c r="P51" s="46"/>
      <c r="Q51" s="51"/>
      <c r="R51" s="51"/>
      <c r="S51" s="51"/>
      <c r="T51" s="51"/>
    </row>
    <row r="52" spans="2:20" x14ac:dyDescent="0.25">
      <c r="B52" s="36"/>
      <c r="C52" s="40"/>
      <c r="D52" s="40"/>
      <c r="E52" s="41"/>
      <c r="F52" s="38"/>
      <c r="G52" s="38"/>
      <c r="H52" s="38"/>
      <c r="I52" s="38"/>
      <c r="J52" s="38"/>
      <c r="K52" s="38"/>
      <c r="L52" s="39"/>
      <c r="M52" s="34"/>
      <c r="N52" s="107"/>
      <c r="O52" s="29"/>
      <c r="P52" s="29"/>
      <c r="T52" s="51"/>
    </row>
    <row r="53" spans="2:20" x14ac:dyDescent="0.25">
      <c r="C53" s="40"/>
      <c r="D53" s="40"/>
      <c r="E53" s="41"/>
      <c r="F53" s="71"/>
      <c r="G53" s="71"/>
      <c r="H53" s="71"/>
      <c r="I53" s="71"/>
      <c r="J53" s="71"/>
      <c r="K53" s="71"/>
      <c r="L53" s="33"/>
      <c r="M53" s="31"/>
      <c r="N53" s="107"/>
    </row>
    <row r="54" spans="2:20" x14ac:dyDescent="0.25">
      <c r="C54" s="40"/>
      <c r="D54" s="40"/>
      <c r="E54" s="41"/>
      <c r="F54" s="71"/>
      <c r="G54" s="71"/>
      <c r="H54" s="71"/>
      <c r="I54" s="71"/>
      <c r="J54" s="71"/>
      <c r="K54" s="71"/>
      <c r="L54" s="33"/>
      <c r="M54" s="31"/>
      <c r="N54" s="108"/>
    </row>
    <row r="55" spans="2:20" x14ac:dyDescent="0.25">
      <c r="C55" s="40"/>
      <c r="D55" s="40"/>
      <c r="E55" s="41"/>
      <c r="F55" s="71"/>
      <c r="G55" s="71"/>
      <c r="H55" s="71"/>
      <c r="I55" s="71"/>
      <c r="J55" s="71"/>
      <c r="K55" s="71"/>
      <c r="L55" s="33"/>
      <c r="M55" s="35"/>
      <c r="N55" s="37"/>
      <c r="O55" s="37"/>
      <c r="P55" s="29"/>
    </row>
    <row r="56" spans="2:20" ht="15" customHeight="1" x14ac:dyDescent="0.25">
      <c r="B56" s="36"/>
      <c r="C56" s="40"/>
      <c r="D56" s="40"/>
      <c r="E56" s="41"/>
      <c r="F56" s="38"/>
      <c r="G56" s="38"/>
      <c r="H56" s="38"/>
      <c r="I56" s="38"/>
      <c r="J56" s="38"/>
      <c r="K56" s="38"/>
      <c r="L56" s="33"/>
      <c r="M56" s="31"/>
      <c r="N56" s="101"/>
      <c r="O56" s="101"/>
      <c r="P56" s="29"/>
    </row>
    <row r="57" spans="2:20" x14ac:dyDescent="0.25">
      <c r="B57" s="36"/>
      <c r="C57" s="40"/>
      <c r="D57" s="40"/>
      <c r="E57" s="41"/>
      <c r="F57" s="38"/>
      <c r="G57" s="38"/>
      <c r="H57" s="38"/>
      <c r="I57" s="38"/>
      <c r="J57" s="38"/>
      <c r="K57" s="38"/>
      <c r="L57" s="33"/>
      <c r="M57" s="31"/>
      <c r="N57" s="101"/>
      <c r="O57" s="101"/>
      <c r="P57" s="29"/>
    </row>
    <row r="58" spans="2:20" x14ac:dyDescent="0.25">
      <c r="B58" s="36"/>
      <c r="C58" s="40"/>
      <c r="D58" s="40"/>
      <c r="E58" s="41"/>
      <c r="F58" s="38"/>
      <c r="G58" s="38"/>
      <c r="H58" s="38"/>
      <c r="I58" s="38"/>
      <c r="J58" s="38"/>
      <c r="K58" s="38"/>
      <c r="L58" s="33"/>
      <c r="M58" s="31"/>
      <c r="N58" s="101"/>
      <c r="O58" s="101"/>
      <c r="P58" s="29"/>
    </row>
    <row r="59" spans="2:20" ht="16.5" customHeight="1" x14ac:dyDescent="0.25">
      <c r="B59" s="36"/>
      <c r="C59" s="40"/>
      <c r="D59" s="40"/>
      <c r="E59" s="41"/>
      <c r="F59" s="38"/>
      <c r="G59" s="38"/>
      <c r="H59" s="38"/>
      <c r="I59" s="38"/>
      <c r="J59" s="38"/>
      <c r="K59" s="38"/>
      <c r="L59" s="39"/>
      <c r="M59" s="20"/>
      <c r="N59" s="101"/>
      <c r="O59" s="101"/>
      <c r="P59" s="29"/>
    </row>
    <row r="60" spans="2:20" ht="15" hidden="1" customHeight="1" x14ac:dyDescent="0.25"/>
    <row r="61" spans="2:20" ht="15" customHeight="1" x14ac:dyDescent="0.25">
      <c r="E61" s="21"/>
      <c r="F61" s="105"/>
      <c r="G61" s="105"/>
      <c r="H61" s="105"/>
      <c r="I61" s="105"/>
      <c r="J61" s="105"/>
      <c r="K61" s="105"/>
    </row>
    <row r="64" spans="2:20" ht="15" customHeight="1" x14ac:dyDescent="0.25"/>
  </sheetData>
  <mergeCells count="7">
    <mergeCell ref="B40:H40"/>
    <mergeCell ref="B27:F27"/>
    <mergeCell ref="Q2:S2"/>
    <mergeCell ref="Q1:S1"/>
    <mergeCell ref="B22:F22"/>
    <mergeCell ref="B24:F24"/>
    <mergeCell ref="B26:F26"/>
  </mergeCells>
  <hyperlinks>
    <hyperlink ref="B27" r:id="rId1"/>
  </hyperlinks>
  <printOptions horizontalCentered="1" gridLines="1"/>
  <pageMargins left="0" right="0" top="0.75" bottom="0.75" header="0.3" footer="0.3"/>
  <pageSetup scale="52" orientation="landscape" horizontalDpi="1200" verticalDpi="1200"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0"/>
  <sheetViews>
    <sheetView topLeftCell="C15" zoomScale="90" zoomScaleNormal="90" workbookViewId="0">
      <selection activeCell="S50" sqref="S50"/>
    </sheetView>
  </sheetViews>
  <sheetFormatPr defaultColWidth="9.140625" defaultRowHeight="15" x14ac:dyDescent="0.25"/>
  <cols>
    <col min="1" max="1" width="9.140625" style="2" hidden="1" customWidth="1"/>
    <col min="2" max="2" width="58.42578125" style="2" customWidth="1"/>
    <col min="3" max="3" width="30.85546875" style="2" customWidth="1"/>
    <col min="4" max="4" width="13.7109375" style="2" customWidth="1"/>
    <col min="5" max="5" width="16.85546875" style="2" customWidth="1"/>
    <col min="6" max="6" width="21.5703125" style="2" customWidth="1"/>
    <col min="7" max="7" width="8.5703125" style="2" customWidth="1"/>
    <col min="8" max="8" width="11.5703125" style="2" customWidth="1"/>
    <col min="9" max="9" width="10.85546875" style="2" customWidth="1"/>
    <col min="10" max="10" width="10" style="2" customWidth="1"/>
    <col min="11" max="11" width="8" style="2" customWidth="1"/>
    <col min="12" max="12" width="18.710937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4.5703125" style="2" customWidth="1"/>
    <col min="20" max="16384" width="9.140625" style="2"/>
  </cols>
  <sheetData>
    <row r="1" spans="1:20" ht="15.6" customHeight="1" x14ac:dyDescent="0.25">
      <c r="A1" s="2" t="s">
        <v>342</v>
      </c>
      <c r="B1" s="1" t="s">
        <v>170</v>
      </c>
      <c r="Q1" s="335" t="s">
        <v>154</v>
      </c>
      <c r="R1" s="335"/>
      <c r="S1" s="335"/>
    </row>
    <row r="2" spans="1:20" x14ac:dyDescent="0.25">
      <c r="B2" s="90" t="s">
        <v>148</v>
      </c>
      <c r="C2" s="187">
        <v>44377</v>
      </c>
      <c r="M2" s="73"/>
      <c r="N2" s="73"/>
      <c r="P2" s="29"/>
      <c r="Q2" s="334" t="s">
        <v>338</v>
      </c>
      <c r="R2" s="334"/>
      <c r="S2" s="334"/>
    </row>
    <row r="3" spans="1:20" ht="15.75" thickBot="1" x14ac:dyDescent="0.3">
      <c r="A3" s="2" t="s">
        <v>16</v>
      </c>
      <c r="B3" s="44" t="s">
        <v>75</v>
      </c>
      <c r="C3" s="8"/>
      <c r="D3" s="8"/>
      <c r="E3" s="8"/>
      <c r="P3" s="29"/>
      <c r="Q3" s="45"/>
      <c r="R3" s="30"/>
    </row>
    <row r="4" spans="1:20" x14ac:dyDescent="0.25">
      <c r="B4" s="228" t="s">
        <v>177</v>
      </c>
      <c r="M4" s="87" t="s">
        <v>28</v>
      </c>
      <c r="N4" s="87" t="s">
        <v>28</v>
      </c>
      <c r="O4" s="87" t="s">
        <v>28</v>
      </c>
      <c r="P4" s="153"/>
      <c r="Q4" s="91" t="s">
        <v>29</v>
      </c>
      <c r="R4" s="91" t="s">
        <v>31</v>
      </c>
      <c r="S4" s="91" t="s">
        <v>23</v>
      </c>
      <c r="T4" s="7"/>
    </row>
    <row r="5" spans="1:20" ht="15.75" thickBot="1" x14ac:dyDescent="0.3">
      <c r="G5" s="188" t="s">
        <v>158</v>
      </c>
      <c r="H5" s="188" t="s">
        <v>158</v>
      </c>
      <c r="M5" s="88" t="s">
        <v>27</v>
      </c>
      <c r="N5" s="88" t="s">
        <v>26</v>
      </c>
      <c r="O5" s="88" t="s">
        <v>25</v>
      </c>
      <c r="P5" s="153"/>
      <c r="Q5" s="92" t="s">
        <v>30</v>
      </c>
      <c r="R5" s="92" t="s">
        <v>30</v>
      </c>
      <c r="S5" s="92" t="s">
        <v>30</v>
      </c>
      <c r="T5" s="7"/>
    </row>
    <row r="6" spans="1:20" ht="85.5" customHeight="1" thickBot="1" x14ac:dyDescent="0.3">
      <c r="B6" s="86" t="s">
        <v>1</v>
      </c>
      <c r="C6" s="86" t="s">
        <v>127</v>
      </c>
      <c r="D6" s="86" t="s">
        <v>107</v>
      </c>
      <c r="E6" s="86" t="s">
        <v>3</v>
      </c>
      <c r="F6" s="86" t="s">
        <v>4</v>
      </c>
      <c r="G6" s="110" t="s">
        <v>136</v>
      </c>
      <c r="H6" s="110" t="s">
        <v>137</v>
      </c>
      <c r="I6" s="110" t="s">
        <v>133</v>
      </c>
      <c r="J6" s="110" t="s">
        <v>134</v>
      </c>
      <c r="K6" s="110" t="s">
        <v>121</v>
      </c>
      <c r="L6" s="85" t="s">
        <v>5</v>
      </c>
      <c r="M6" s="89" t="s">
        <v>6</v>
      </c>
      <c r="N6" s="89" t="s">
        <v>6</v>
      </c>
      <c r="O6" s="89" t="s">
        <v>6</v>
      </c>
      <c r="P6" s="153"/>
      <c r="Q6" s="93"/>
      <c r="R6" s="99" t="s">
        <v>32</v>
      </c>
      <c r="S6" s="100" t="s">
        <v>33</v>
      </c>
    </row>
    <row r="7" spans="1:20" hidden="1" x14ac:dyDescent="0.25">
      <c r="B7" s="2" t="s">
        <v>8</v>
      </c>
      <c r="C7" s="94" t="s">
        <v>106</v>
      </c>
      <c r="D7" s="94" t="s">
        <v>108</v>
      </c>
      <c r="E7" s="2" t="s">
        <v>155</v>
      </c>
      <c r="F7" s="2" t="s">
        <v>7</v>
      </c>
      <c r="G7" s="191">
        <v>2.7699999999999999E-2</v>
      </c>
      <c r="H7" s="191">
        <v>0.15060000000000001</v>
      </c>
      <c r="I7" s="192">
        <v>43646</v>
      </c>
      <c r="J7" s="192">
        <v>43647</v>
      </c>
      <c r="K7" s="192">
        <v>43282</v>
      </c>
      <c r="L7" s="193" t="s">
        <v>157</v>
      </c>
      <c r="M7" s="72">
        <v>0</v>
      </c>
      <c r="N7" s="72">
        <v>0</v>
      </c>
      <c r="O7" s="69">
        <f>M7+N7</f>
        <v>0</v>
      </c>
      <c r="P7" s="42"/>
      <c r="Q7" s="43">
        <v>0</v>
      </c>
      <c r="R7" s="69"/>
      <c r="S7" s="70">
        <f>Q7+R7</f>
        <v>0</v>
      </c>
    </row>
    <row r="8" spans="1:20" ht="30" hidden="1" customHeight="1" x14ac:dyDescent="0.25">
      <c r="B8" s="2" t="s">
        <v>128</v>
      </c>
      <c r="C8" s="97" t="s">
        <v>122</v>
      </c>
      <c r="D8" s="95" t="s">
        <v>123</v>
      </c>
      <c r="E8" s="2" t="s">
        <v>156</v>
      </c>
      <c r="F8" s="2" t="s">
        <v>7</v>
      </c>
      <c r="G8" s="191">
        <v>3.1399999999999997E-2</v>
      </c>
      <c r="H8" s="191">
        <v>0.16209999999999999</v>
      </c>
      <c r="I8" s="192">
        <v>42916</v>
      </c>
      <c r="J8" s="192">
        <v>42917</v>
      </c>
      <c r="K8" s="192">
        <v>42552</v>
      </c>
      <c r="L8" s="193" t="s">
        <v>139</v>
      </c>
      <c r="M8" s="72">
        <v>0</v>
      </c>
      <c r="N8" s="72"/>
      <c r="O8" s="69">
        <f>M8+N8</f>
        <v>0</v>
      </c>
      <c r="P8" s="42"/>
      <c r="Q8" s="43">
        <v>0</v>
      </c>
      <c r="R8" s="69"/>
      <c r="S8" s="70">
        <f>Q8+R8</f>
        <v>0</v>
      </c>
    </row>
    <row r="9" spans="1:20" ht="30" hidden="1" x14ac:dyDescent="0.25">
      <c r="B9" s="2" t="s">
        <v>22</v>
      </c>
      <c r="C9" s="97" t="s">
        <v>132</v>
      </c>
      <c r="D9" s="94" t="s">
        <v>124</v>
      </c>
      <c r="E9" s="2" t="s">
        <v>140</v>
      </c>
      <c r="F9" s="2" t="s">
        <v>7</v>
      </c>
      <c r="G9" s="191">
        <v>3.1399999999999997E-2</v>
      </c>
      <c r="H9" s="191">
        <v>0.16209999999999999</v>
      </c>
      <c r="I9" s="192">
        <v>42916</v>
      </c>
      <c r="J9" s="192">
        <v>42917</v>
      </c>
      <c r="K9" s="192">
        <v>42552</v>
      </c>
      <c r="L9" s="193" t="s">
        <v>139</v>
      </c>
      <c r="M9" s="72">
        <v>0</v>
      </c>
      <c r="N9" s="72">
        <v>0</v>
      </c>
      <c r="O9" s="69">
        <f>M9+N9</f>
        <v>0</v>
      </c>
      <c r="P9" s="42"/>
      <c r="Q9" s="43">
        <v>0</v>
      </c>
      <c r="R9" s="69">
        <v>0</v>
      </c>
      <c r="S9" s="70">
        <f>Q9+R9</f>
        <v>0</v>
      </c>
    </row>
    <row r="10" spans="1:20" ht="23.25" customHeight="1" x14ac:dyDescent="0.25">
      <c r="B10" s="2" t="s">
        <v>283</v>
      </c>
      <c r="C10" s="243" t="s">
        <v>264</v>
      </c>
      <c r="D10" s="95" t="s">
        <v>254</v>
      </c>
      <c r="E10" s="2" t="s">
        <v>284</v>
      </c>
      <c r="F10" s="2" t="s">
        <v>7</v>
      </c>
      <c r="G10" s="191">
        <f t="shared" ref="G10:H10" si="0">+G9</f>
        <v>3.1399999999999997E-2</v>
      </c>
      <c r="H10" s="191">
        <f t="shared" si="0"/>
        <v>0.16209999999999999</v>
      </c>
      <c r="I10" s="192">
        <v>44377</v>
      </c>
      <c r="J10" s="192">
        <v>44392</v>
      </c>
      <c r="K10" s="192">
        <v>43613</v>
      </c>
      <c r="L10" s="193" t="s">
        <v>234</v>
      </c>
      <c r="M10" s="81">
        <v>7302.48</v>
      </c>
      <c r="N10" s="69"/>
      <c r="O10" s="69">
        <f>M10+N10</f>
        <v>7302.48</v>
      </c>
      <c r="P10" s="42"/>
      <c r="Q10" s="43"/>
      <c r="R10" s="69"/>
      <c r="S10" s="70"/>
    </row>
    <row r="11" spans="1:20" ht="23.25" customHeight="1" x14ac:dyDescent="0.25">
      <c r="C11" s="243"/>
      <c r="D11" s="95"/>
      <c r="G11" s="191"/>
      <c r="H11" s="191"/>
      <c r="I11" s="192"/>
      <c r="J11" s="192"/>
      <c r="K11" s="192"/>
      <c r="L11" s="193"/>
      <c r="M11" s="81"/>
      <c r="N11" s="69"/>
      <c r="O11" s="69"/>
      <c r="P11" s="68"/>
      <c r="Q11" s="69"/>
      <c r="R11" s="69"/>
      <c r="S11" s="70">
        <f t="shared" ref="S11" si="1">Q11+R11</f>
        <v>0</v>
      </c>
    </row>
    <row r="12" spans="1:20" ht="23.25" customHeight="1" x14ac:dyDescent="0.25">
      <c r="C12" s="243"/>
      <c r="D12" s="95"/>
      <c r="G12" s="191"/>
      <c r="H12" s="191"/>
      <c r="I12" s="192"/>
      <c r="J12" s="192"/>
      <c r="K12" s="192"/>
      <c r="L12" s="193"/>
      <c r="M12" s="81"/>
      <c r="N12" s="69"/>
      <c r="O12" s="69"/>
      <c r="P12" s="42"/>
      <c r="Q12" s="43"/>
      <c r="R12" s="69"/>
      <c r="S12" s="70"/>
    </row>
    <row r="13" spans="1:20" x14ac:dyDescent="0.25">
      <c r="B13" s="29"/>
      <c r="C13" s="94"/>
      <c r="D13" s="94"/>
      <c r="L13" s="5" t="s">
        <v>38</v>
      </c>
      <c r="M13" s="284">
        <f>SUM(M7:M12)</f>
        <v>7302.48</v>
      </c>
      <c r="N13" s="284">
        <f t="shared" ref="N13:O13" si="2">SUM(N7:N12)</f>
        <v>0</v>
      </c>
      <c r="O13" s="284">
        <f t="shared" si="2"/>
        <v>7302.48</v>
      </c>
      <c r="P13" s="284"/>
      <c r="Q13" s="284">
        <f t="shared" ref="Q13:S13" si="3">SUM(Q7:Q12)</f>
        <v>0</v>
      </c>
      <c r="R13" s="284">
        <f t="shared" si="3"/>
        <v>0</v>
      </c>
      <c r="S13" s="23">
        <f t="shared" si="3"/>
        <v>0</v>
      </c>
    </row>
    <row r="14" spans="1:20" x14ac:dyDescent="0.25">
      <c r="B14" s="29"/>
      <c r="C14" s="94"/>
      <c r="D14" s="94"/>
      <c r="L14" s="5"/>
      <c r="M14" s="68"/>
      <c r="N14" s="68"/>
      <c r="O14" s="68"/>
      <c r="P14" s="29"/>
      <c r="Q14" s="68"/>
      <c r="R14" s="68"/>
      <c r="S14" s="70"/>
    </row>
    <row r="15" spans="1:20" x14ac:dyDescent="0.25">
      <c r="B15" s="8" t="s">
        <v>125</v>
      </c>
      <c r="C15" s="94"/>
      <c r="D15" s="94"/>
      <c r="L15" s="5"/>
      <c r="M15" s="68"/>
      <c r="N15" s="68"/>
      <c r="O15" s="68"/>
      <c r="P15" s="29"/>
      <c r="Q15" s="68"/>
      <c r="R15" s="68"/>
      <c r="S15" s="70"/>
    </row>
    <row r="16" spans="1:20" ht="31.5" customHeight="1" x14ac:dyDescent="0.25">
      <c r="B16" s="345" t="s">
        <v>126</v>
      </c>
      <c r="C16" s="345"/>
      <c r="D16" s="345"/>
      <c r="E16" s="345"/>
      <c r="F16" s="345"/>
      <c r="G16" s="217"/>
      <c r="H16" s="217"/>
      <c r="I16" s="217"/>
      <c r="L16" s="5"/>
      <c r="S16" s="27"/>
    </row>
    <row r="17" spans="2:20" x14ac:dyDescent="0.25">
      <c r="C17" s="94"/>
      <c r="D17" s="94"/>
      <c r="L17" s="5"/>
      <c r="M17" s="68"/>
      <c r="N17" s="68"/>
      <c r="O17" s="68"/>
      <c r="Q17" s="68"/>
      <c r="R17" s="68"/>
      <c r="S17" s="70"/>
    </row>
    <row r="18" spans="2:20" ht="44.25" customHeight="1" x14ac:dyDescent="0.25">
      <c r="B18" s="338" t="s">
        <v>129</v>
      </c>
      <c r="C18" s="338"/>
      <c r="D18" s="338"/>
      <c r="E18" s="338"/>
      <c r="F18" s="338"/>
      <c r="G18" s="214"/>
      <c r="H18" s="214"/>
      <c r="I18" s="214"/>
      <c r="L18" s="5"/>
      <c r="M18" s="68"/>
      <c r="N18" s="68"/>
      <c r="O18" s="68"/>
      <c r="Q18" s="68"/>
      <c r="R18" s="68"/>
      <c r="S18" s="70"/>
    </row>
    <row r="19" spans="2:20" x14ac:dyDescent="0.25">
      <c r="B19" s="214"/>
      <c r="C19" s="214"/>
      <c r="D19" s="214"/>
      <c r="E19" s="214"/>
      <c r="F19" s="214"/>
      <c r="G19" s="214"/>
      <c r="H19" s="214"/>
      <c r="I19" s="214"/>
      <c r="L19" s="5"/>
      <c r="M19" s="68"/>
      <c r="N19" s="68"/>
      <c r="O19" s="68"/>
      <c r="Q19" s="68"/>
      <c r="R19" s="68"/>
      <c r="S19" s="70"/>
    </row>
    <row r="20" spans="2:20" ht="30" customHeight="1" x14ac:dyDescent="0.25">
      <c r="B20" s="338" t="s">
        <v>160</v>
      </c>
      <c r="C20" s="338"/>
      <c r="D20" s="338"/>
      <c r="E20" s="338"/>
      <c r="F20" s="338"/>
      <c r="G20" s="214"/>
      <c r="H20" s="214"/>
      <c r="I20" s="214"/>
      <c r="L20" s="5"/>
      <c r="M20" s="68"/>
      <c r="N20" s="68"/>
      <c r="O20" s="68"/>
      <c r="Q20" s="68"/>
      <c r="R20" s="68"/>
      <c r="S20" s="70"/>
    </row>
    <row r="21" spans="2:20" ht="19.5" customHeight="1" x14ac:dyDescent="0.25">
      <c r="B21" s="346" t="s">
        <v>159</v>
      </c>
      <c r="C21" s="346"/>
      <c r="D21" s="346"/>
      <c r="E21" s="346"/>
      <c r="F21" s="346"/>
      <c r="G21" s="214"/>
      <c r="H21" s="214"/>
      <c r="I21" s="214"/>
      <c r="L21" s="5"/>
      <c r="M21" s="68"/>
      <c r="N21" s="68"/>
      <c r="O21" s="68"/>
      <c r="Q21" s="68"/>
      <c r="R21" s="68"/>
      <c r="S21" s="70"/>
    </row>
    <row r="22" spans="2:20" x14ac:dyDescent="0.25">
      <c r="B22" s="214"/>
      <c r="C22" s="214"/>
      <c r="D22" s="214"/>
      <c r="E22" s="214"/>
      <c r="F22" s="214"/>
      <c r="G22" s="214"/>
      <c r="H22" s="214"/>
      <c r="I22" s="214"/>
      <c r="L22" s="5"/>
      <c r="M22" s="68"/>
      <c r="N22" s="68"/>
      <c r="O22" s="68"/>
      <c r="Q22" s="68"/>
      <c r="R22" s="68"/>
      <c r="S22" s="70"/>
    </row>
    <row r="23" spans="2:20" x14ac:dyDescent="0.25">
      <c r="B23" s="7" t="s">
        <v>109</v>
      </c>
      <c r="C23" s="104" t="s">
        <v>112</v>
      </c>
      <c r="D23" s="104" t="s">
        <v>113</v>
      </c>
      <c r="E23" s="214"/>
      <c r="F23" s="214"/>
      <c r="G23" s="214"/>
      <c r="H23" s="214"/>
      <c r="I23" s="214"/>
      <c r="L23" s="5"/>
      <c r="M23" s="68"/>
      <c r="N23" s="68"/>
      <c r="O23" s="68"/>
      <c r="Q23" s="68"/>
      <c r="R23" s="68"/>
      <c r="S23" s="70"/>
    </row>
    <row r="24" spans="2:20" x14ac:dyDescent="0.25">
      <c r="B24" s="2" t="s">
        <v>260</v>
      </c>
      <c r="C24" s="94" t="s">
        <v>135</v>
      </c>
      <c r="D24" s="94" t="s">
        <v>147</v>
      </c>
      <c r="E24" s="214"/>
      <c r="F24" s="214"/>
      <c r="G24" s="214"/>
      <c r="H24" s="214"/>
      <c r="I24" s="214"/>
      <c r="L24" s="5"/>
      <c r="M24" s="68"/>
      <c r="N24" s="68"/>
      <c r="O24" s="68"/>
      <c r="Q24" s="68"/>
      <c r="R24" s="68"/>
      <c r="S24" s="70"/>
    </row>
    <row r="25" spans="2:20" x14ac:dyDescent="0.25">
      <c r="C25" s="94"/>
      <c r="D25" s="94"/>
      <c r="E25" s="314"/>
      <c r="F25" s="314"/>
      <c r="G25" s="314"/>
      <c r="H25" s="314"/>
      <c r="I25" s="314"/>
      <c r="L25" s="5"/>
      <c r="M25" s="68"/>
      <c r="N25" s="68"/>
      <c r="O25" s="68"/>
      <c r="Q25" s="68"/>
      <c r="R25" s="68"/>
      <c r="S25" s="70"/>
    </row>
    <row r="26" spans="2:20" x14ac:dyDescent="0.25">
      <c r="C26" s="94"/>
      <c r="D26" s="94"/>
      <c r="L26" s="5"/>
      <c r="M26" s="68"/>
      <c r="N26" s="68"/>
      <c r="O26" s="68"/>
      <c r="Q26" s="68"/>
      <c r="R26" s="68"/>
      <c r="S26" s="70"/>
    </row>
    <row r="27" spans="2:20" x14ac:dyDescent="0.25">
      <c r="B27" s="304" t="s">
        <v>235</v>
      </c>
      <c r="C27" s="94"/>
      <c r="D27" s="94"/>
      <c r="L27" s="5"/>
      <c r="M27" s="68"/>
      <c r="N27" s="68"/>
      <c r="O27" s="68"/>
      <c r="Q27" s="68"/>
      <c r="R27" s="68"/>
      <c r="S27" s="70"/>
    </row>
    <row r="28" spans="2:20" x14ac:dyDescent="0.25">
      <c r="B28" s="299" t="s">
        <v>236</v>
      </c>
      <c r="C28" s="42"/>
      <c r="D28" s="42"/>
      <c r="E28" s="29"/>
      <c r="F28" s="29"/>
      <c r="G28" s="29"/>
      <c r="H28" s="29"/>
      <c r="L28" s="5"/>
      <c r="M28" s="68"/>
      <c r="N28" s="68"/>
      <c r="O28" s="68"/>
      <c r="Q28" s="68"/>
      <c r="R28" s="68"/>
      <c r="S28" s="70"/>
    </row>
    <row r="29" spans="2:20" x14ac:dyDescent="0.25">
      <c r="C29" s="94"/>
      <c r="D29" s="94"/>
      <c r="L29" s="5"/>
      <c r="M29" s="68"/>
      <c r="N29" s="68"/>
      <c r="O29" s="68"/>
      <c r="Q29" s="68"/>
      <c r="R29" s="68"/>
      <c r="S29" s="70"/>
    </row>
    <row r="30" spans="2:20" x14ac:dyDescent="0.25">
      <c r="B30" s="10"/>
      <c r="C30" s="10"/>
      <c r="D30" s="10"/>
      <c r="E30" s="10"/>
      <c r="F30" s="10"/>
      <c r="G30" s="10"/>
      <c r="H30" s="10"/>
      <c r="I30" s="10"/>
      <c r="J30" s="10"/>
      <c r="K30" s="29"/>
      <c r="L30" s="29"/>
      <c r="M30" s="10"/>
      <c r="N30" s="10"/>
      <c r="O30" s="29"/>
      <c r="P30" s="29"/>
      <c r="Q30" s="56"/>
      <c r="R30" s="56"/>
      <c r="S30" s="172"/>
      <c r="T30" s="51"/>
    </row>
    <row r="31" spans="2:20" x14ac:dyDescent="0.25">
      <c r="K31" s="112"/>
      <c r="L31" s="112"/>
      <c r="O31" s="112"/>
      <c r="P31" s="112"/>
      <c r="Q31" s="171" t="s">
        <v>90</v>
      </c>
      <c r="R31" s="173"/>
      <c r="S31" s="174"/>
    </row>
    <row r="32" spans="2:20" ht="13.9" customHeight="1" x14ac:dyDescent="0.25">
      <c r="B32" s="17" t="s">
        <v>39</v>
      </c>
      <c r="C32" s="216" t="s">
        <v>2</v>
      </c>
      <c r="D32" s="216" t="s">
        <v>34</v>
      </c>
      <c r="E32" s="131" t="s">
        <v>35</v>
      </c>
      <c r="F32" s="216"/>
      <c r="G32" s="342"/>
      <c r="H32" s="342"/>
      <c r="I32" s="342"/>
      <c r="J32" s="216"/>
      <c r="K32" s="216"/>
      <c r="L32" s="216" t="s">
        <v>36</v>
      </c>
      <c r="M32" s="216" t="s">
        <v>37</v>
      </c>
      <c r="N32" s="10"/>
      <c r="O32" s="10"/>
      <c r="P32" s="10"/>
      <c r="Q32" s="54" t="s">
        <v>88</v>
      </c>
      <c r="R32" s="54"/>
      <c r="S32" s="55"/>
    </row>
    <row r="33" spans="1:16" ht="15" customHeight="1" x14ac:dyDescent="0.25">
      <c r="A33" s="29"/>
      <c r="C33" s="136"/>
      <c r="D33" s="158"/>
      <c r="E33" s="137"/>
      <c r="F33" s="140"/>
      <c r="G33" s="344"/>
      <c r="H33" s="344"/>
      <c r="I33" s="344"/>
      <c r="J33" s="344"/>
      <c r="K33" s="141"/>
      <c r="L33" s="142"/>
      <c r="M33" s="143"/>
      <c r="N33" s="143"/>
      <c r="O33" s="18"/>
      <c r="P33" s="18"/>
    </row>
    <row r="34" spans="1:16" x14ac:dyDescent="0.25">
      <c r="B34" s="36"/>
      <c r="C34" s="157"/>
      <c r="D34" s="159"/>
      <c r="E34" s="138"/>
      <c r="F34" s="15"/>
      <c r="G34" s="38"/>
      <c r="H34" s="38"/>
      <c r="I34" s="38"/>
      <c r="J34" s="38"/>
      <c r="K34" s="38"/>
      <c r="L34" s="33"/>
      <c r="M34" s="31"/>
      <c r="N34" s="101"/>
    </row>
    <row r="35" spans="1:16" ht="16.5" customHeight="1" x14ac:dyDescent="0.25">
      <c r="C35" s="156"/>
      <c r="D35" s="159"/>
      <c r="E35" s="138"/>
      <c r="F35" s="160"/>
      <c r="G35" s="38"/>
      <c r="H35" s="38"/>
      <c r="I35" s="38"/>
      <c r="J35" s="38"/>
      <c r="K35" s="38"/>
      <c r="L35" s="39"/>
      <c r="M35" s="20"/>
      <c r="N35" s="101"/>
      <c r="O35" s="101"/>
      <c r="P35" s="29"/>
    </row>
    <row r="36" spans="1:16" ht="15" hidden="1" customHeight="1" x14ac:dyDescent="0.25">
      <c r="D36" s="45"/>
      <c r="E36" s="132"/>
      <c r="F36" s="95"/>
    </row>
    <row r="37" spans="1:16" ht="15" customHeight="1" x14ac:dyDescent="0.25">
      <c r="D37" s="45"/>
      <c r="E37" s="139"/>
      <c r="F37" s="84"/>
      <c r="G37" s="105"/>
      <c r="H37" s="105"/>
      <c r="I37" s="105"/>
      <c r="J37" s="105"/>
      <c r="K37" s="105"/>
    </row>
    <row r="38" spans="1:16" x14ac:dyDescent="0.25">
      <c r="C38" s="156"/>
      <c r="D38" s="45"/>
      <c r="E38" s="132"/>
      <c r="F38" s="155"/>
    </row>
    <row r="39" spans="1:16" x14ac:dyDescent="0.25">
      <c r="D39" s="45"/>
      <c r="E39" s="132"/>
      <c r="F39" s="95"/>
    </row>
    <row r="40" spans="1:16" ht="15" customHeight="1" x14ac:dyDescent="0.25">
      <c r="D40" s="45"/>
      <c r="E40" s="132"/>
      <c r="F40" s="95"/>
    </row>
    <row r="41" spans="1:16" x14ac:dyDescent="0.25">
      <c r="E41" s="161">
        <f>SUM(E33:E40)</f>
        <v>0</v>
      </c>
    </row>
    <row r="42" spans="1:16" x14ac:dyDescent="0.25">
      <c r="E42" s="215"/>
      <c r="F42" s="215"/>
      <c r="G42" s="215"/>
      <c r="H42" s="215"/>
      <c r="I42" s="215"/>
      <c r="J42" s="215"/>
      <c r="K42" s="215"/>
      <c r="L42" s="215"/>
      <c r="M42" s="215"/>
      <c r="N42" s="215"/>
      <c r="O42" s="215"/>
    </row>
    <row r="43" spans="1:16" x14ac:dyDescent="0.25">
      <c r="E43" s="215"/>
      <c r="F43" s="215"/>
      <c r="G43" s="215"/>
      <c r="H43" s="215"/>
      <c r="I43" s="215"/>
      <c r="J43" s="215"/>
      <c r="K43" s="215"/>
      <c r="L43" s="215"/>
      <c r="M43" s="215"/>
      <c r="N43" s="215"/>
      <c r="O43" s="215"/>
    </row>
    <row r="50" spans="17:19" x14ac:dyDescent="0.25">
      <c r="Q50" s="325" t="s">
        <v>343</v>
      </c>
      <c r="R50" s="325"/>
      <c r="S50" s="327">
        <f>S13</f>
        <v>0</v>
      </c>
    </row>
  </sheetData>
  <mergeCells count="8">
    <mergeCell ref="G32:I32"/>
    <mergeCell ref="G33:J33"/>
    <mergeCell ref="Q1:S1"/>
    <mergeCell ref="Q2:S2"/>
    <mergeCell ref="B16:F16"/>
    <mergeCell ref="B18:F18"/>
    <mergeCell ref="B20:F20"/>
    <mergeCell ref="B21:F21"/>
  </mergeCells>
  <hyperlinks>
    <hyperlink ref="B21" r:id="rId1"/>
  </hyperlinks>
  <printOptions horizontalCentered="1" gridLines="1"/>
  <pageMargins left="0" right="0" top="0.75" bottom="0.75" header="0.3" footer="0.3"/>
  <pageSetup scale="45" orientation="landscape" horizontalDpi="1200" verticalDpi="1200"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0"/>
  <sheetViews>
    <sheetView topLeftCell="C23" zoomScale="90" zoomScaleNormal="90" workbookViewId="0">
      <selection activeCell="T50" sqref="T50"/>
    </sheetView>
  </sheetViews>
  <sheetFormatPr defaultColWidth="9.140625" defaultRowHeight="15" x14ac:dyDescent="0.25"/>
  <cols>
    <col min="1" max="1" width="9.140625" style="2" hidden="1" customWidth="1"/>
    <col min="2" max="2" width="59.140625" style="2" customWidth="1"/>
    <col min="3" max="3" width="26.42578125" style="2" customWidth="1"/>
    <col min="4" max="4" width="13.7109375" style="2" customWidth="1"/>
    <col min="5" max="5" width="17" style="2" customWidth="1"/>
    <col min="6" max="6" width="21.28515625" style="2" customWidth="1"/>
    <col min="7" max="7" width="10.28515625" style="2" customWidth="1"/>
    <col min="8" max="8" width="12.85546875" style="2" customWidth="1"/>
    <col min="9" max="9" width="13.42578125" style="2" customWidth="1"/>
    <col min="10" max="10" width="15.7109375" style="2" customWidth="1"/>
    <col min="11" max="11" width="8.85546875" style="2" customWidth="1"/>
    <col min="12" max="12" width="17.8554687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6.7109375" style="2" customWidth="1"/>
    <col min="20" max="16384" width="9.140625" style="2"/>
  </cols>
  <sheetData>
    <row r="1" spans="1:20" ht="18" customHeight="1" x14ac:dyDescent="0.25">
      <c r="A1" s="2" t="s">
        <v>342</v>
      </c>
      <c r="B1" s="1" t="s">
        <v>96</v>
      </c>
      <c r="Q1" s="335" t="s">
        <v>230</v>
      </c>
      <c r="R1" s="335"/>
      <c r="S1" s="335"/>
    </row>
    <row r="2" spans="1:20" ht="18" customHeight="1" x14ac:dyDescent="0.25">
      <c r="B2" s="90" t="s">
        <v>148</v>
      </c>
      <c r="C2" s="187">
        <v>44377</v>
      </c>
      <c r="M2" s="73"/>
      <c r="N2" s="73"/>
      <c r="P2" s="29"/>
      <c r="Q2" s="334" t="s">
        <v>338</v>
      </c>
      <c r="R2" s="334"/>
      <c r="S2" s="334"/>
    </row>
    <row r="3" spans="1:20" ht="18" customHeight="1" thickBot="1" x14ac:dyDescent="0.3">
      <c r="A3" s="2" t="s">
        <v>16</v>
      </c>
      <c r="B3" s="44" t="s">
        <v>97</v>
      </c>
      <c r="C3" s="8"/>
      <c r="D3" s="8"/>
      <c r="E3" s="8"/>
      <c r="P3" s="29"/>
      <c r="Q3" s="45"/>
      <c r="R3" s="30"/>
    </row>
    <row r="4" spans="1:20" ht="18.75" customHeight="1" x14ac:dyDescent="0.25">
      <c r="B4" s="8" t="s">
        <v>174</v>
      </c>
      <c r="M4" s="87" t="s">
        <v>28</v>
      </c>
      <c r="N4" s="87" t="s">
        <v>28</v>
      </c>
      <c r="O4" s="87" t="s">
        <v>28</v>
      </c>
      <c r="P4" s="9"/>
      <c r="Q4" s="91" t="s">
        <v>29</v>
      </c>
      <c r="R4" s="91" t="s">
        <v>31</v>
      </c>
      <c r="S4" s="91" t="s">
        <v>23</v>
      </c>
      <c r="T4" s="7"/>
    </row>
    <row r="5" spans="1:20" ht="15.75" thickBot="1" x14ac:dyDescent="0.3">
      <c r="G5" s="188" t="s">
        <v>231</v>
      </c>
      <c r="H5" s="188" t="s">
        <v>231</v>
      </c>
      <c r="M5" s="88" t="s">
        <v>27</v>
      </c>
      <c r="N5" s="88" t="s">
        <v>26</v>
      </c>
      <c r="O5" s="88" t="s">
        <v>25</v>
      </c>
      <c r="P5" s="9"/>
      <c r="Q5" s="92" t="s">
        <v>30</v>
      </c>
      <c r="R5" s="92" t="s">
        <v>30</v>
      </c>
      <c r="S5" s="92" t="s">
        <v>30</v>
      </c>
      <c r="T5" s="7"/>
    </row>
    <row r="6" spans="1:20" ht="85.5" customHeight="1" thickBot="1" x14ac:dyDescent="0.3">
      <c r="B6" s="86" t="s">
        <v>1</v>
      </c>
      <c r="C6" s="86" t="s">
        <v>127</v>
      </c>
      <c r="D6" s="86" t="s">
        <v>107</v>
      </c>
      <c r="E6" s="86" t="s">
        <v>3</v>
      </c>
      <c r="F6" s="86" t="s">
        <v>4</v>
      </c>
      <c r="G6" s="110" t="s">
        <v>136</v>
      </c>
      <c r="H6" s="110" t="s">
        <v>137</v>
      </c>
      <c r="I6" s="110" t="s">
        <v>133</v>
      </c>
      <c r="J6" s="110" t="s">
        <v>134</v>
      </c>
      <c r="K6" s="110" t="s">
        <v>121</v>
      </c>
      <c r="L6" s="85" t="s">
        <v>5</v>
      </c>
      <c r="M6" s="89" t="s">
        <v>6</v>
      </c>
      <c r="N6" s="89" t="s">
        <v>6</v>
      </c>
      <c r="O6" s="89" t="s">
        <v>6</v>
      </c>
      <c r="P6" s="9"/>
      <c r="Q6" s="93"/>
      <c r="R6" s="99" t="s">
        <v>32</v>
      </c>
      <c r="S6" s="100" t="s">
        <v>33</v>
      </c>
    </row>
    <row r="7" spans="1:20" ht="27.75" customHeight="1" x14ac:dyDescent="0.25">
      <c r="B7" s="2" t="s">
        <v>8</v>
      </c>
      <c r="C7" s="94" t="s">
        <v>106</v>
      </c>
      <c r="D7" s="94" t="s">
        <v>246</v>
      </c>
      <c r="E7" s="2" t="s">
        <v>232</v>
      </c>
      <c r="F7" s="2" t="s">
        <v>7</v>
      </c>
      <c r="G7" s="191">
        <v>2.9600000000000001E-2</v>
      </c>
      <c r="H7" s="191">
        <v>0.1744</v>
      </c>
      <c r="I7" s="192">
        <v>44377</v>
      </c>
      <c r="J7" s="192">
        <v>44378</v>
      </c>
      <c r="K7" s="192">
        <v>44013</v>
      </c>
      <c r="L7" s="193" t="s">
        <v>234</v>
      </c>
      <c r="M7" s="67">
        <v>46752.36</v>
      </c>
      <c r="N7" s="69">
        <f>46805.36-M7</f>
        <v>53</v>
      </c>
      <c r="O7" s="69">
        <f>M7+N7</f>
        <v>46805.36</v>
      </c>
      <c r="P7" s="69"/>
      <c r="Q7" s="69">
        <f>5682.56+11477.08+11742.82+8316.11+9470.73</f>
        <v>46689.3</v>
      </c>
      <c r="R7" s="69"/>
      <c r="S7" s="70">
        <f>Q7+R7</f>
        <v>46689.3</v>
      </c>
    </row>
    <row r="8" spans="1:20" ht="29.25" customHeight="1" x14ac:dyDescent="0.25">
      <c r="B8" s="2" t="s">
        <v>128</v>
      </c>
      <c r="C8" s="243" t="s">
        <v>122</v>
      </c>
      <c r="D8" s="95" t="s">
        <v>248</v>
      </c>
      <c r="E8" s="2" t="s">
        <v>233</v>
      </c>
      <c r="F8" s="2" t="s">
        <v>7</v>
      </c>
      <c r="G8" s="191">
        <f>+G7</f>
        <v>2.9600000000000001E-2</v>
      </c>
      <c r="H8" s="191">
        <f t="shared" ref="H8:L8" si="0">+H7</f>
        <v>0.1744</v>
      </c>
      <c r="I8" s="192">
        <f t="shared" si="0"/>
        <v>44377</v>
      </c>
      <c r="J8" s="192">
        <f t="shared" si="0"/>
        <v>44378</v>
      </c>
      <c r="K8" s="192">
        <f t="shared" si="0"/>
        <v>44013</v>
      </c>
      <c r="L8" s="193" t="str">
        <f t="shared" si="0"/>
        <v>07/01/20 - 06/30/21</v>
      </c>
      <c r="M8" s="67">
        <v>4463.17</v>
      </c>
      <c r="N8" s="69">
        <v>1330</v>
      </c>
      <c r="O8" s="69">
        <f>M8+N8</f>
        <v>5793.17</v>
      </c>
      <c r="P8" s="69"/>
      <c r="Q8" s="69">
        <f>4463.17+1330</f>
        <v>5793.17</v>
      </c>
      <c r="R8" s="69">
        <v>0</v>
      </c>
      <c r="S8" s="70">
        <f>Q8+R8</f>
        <v>5793.17</v>
      </c>
    </row>
    <row r="9" spans="1:20" ht="30" customHeight="1" x14ac:dyDescent="0.25">
      <c r="B9" s="2" t="s">
        <v>241</v>
      </c>
      <c r="C9" s="243" t="s">
        <v>242</v>
      </c>
      <c r="D9" s="95" t="s">
        <v>243</v>
      </c>
      <c r="E9" s="2" t="s">
        <v>244</v>
      </c>
      <c r="F9" s="2" t="s">
        <v>7</v>
      </c>
      <c r="G9" s="191">
        <v>2.9600000000000001E-2</v>
      </c>
      <c r="H9" s="191">
        <v>0.1744</v>
      </c>
      <c r="I9" s="192">
        <v>44834</v>
      </c>
      <c r="J9" s="192">
        <v>44849</v>
      </c>
      <c r="K9" s="192">
        <v>43614</v>
      </c>
      <c r="L9" s="193" t="s">
        <v>311</v>
      </c>
      <c r="M9" s="67">
        <v>35583.51</v>
      </c>
      <c r="N9" s="69"/>
      <c r="O9" s="69">
        <f>M9+N9</f>
        <v>35583.51</v>
      </c>
      <c r="P9" s="69"/>
      <c r="Q9" s="69"/>
      <c r="R9" s="69"/>
      <c r="S9" s="70">
        <f>Q9+R9</f>
        <v>0</v>
      </c>
    </row>
    <row r="10" spans="1:20" ht="30" customHeight="1" x14ac:dyDescent="0.25">
      <c r="B10" s="2" t="s">
        <v>283</v>
      </c>
      <c r="C10" s="243" t="s">
        <v>264</v>
      </c>
      <c r="D10" s="95" t="s">
        <v>254</v>
      </c>
      <c r="E10" s="2" t="s">
        <v>284</v>
      </c>
      <c r="F10" s="2" t="s">
        <v>7</v>
      </c>
      <c r="G10" s="191">
        <f t="shared" ref="G10:H10" si="1">+G9</f>
        <v>2.9600000000000001E-2</v>
      </c>
      <c r="H10" s="191">
        <f t="shared" si="1"/>
        <v>0.1744</v>
      </c>
      <c r="I10" s="192">
        <v>44377</v>
      </c>
      <c r="J10" s="192">
        <v>44392</v>
      </c>
      <c r="K10" s="192">
        <v>43613</v>
      </c>
      <c r="L10" s="193" t="s">
        <v>234</v>
      </c>
      <c r="M10" s="81">
        <v>7302.48</v>
      </c>
      <c r="N10" s="69"/>
      <c r="O10" s="69">
        <f>M10+N10</f>
        <v>7302.48</v>
      </c>
      <c r="P10" s="69"/>
      <c r="Q10" s="69"/>
      <c r="R10" s="69"/>
      <c r="S10" s="70">
        <f>Q10+R10</f>
        <v>0</v>
      </c>
    </row>
    <row r="11" spans="1:20" ht="30" customHeight="1" x14ac:dyDescent="0.25">
      <c r="B11" s="2" t="s">
        <v>268</v>
      </c>
      <c r="C11" s="243" t="s">
        <v>269</v>
      </c>
      <c r="D11" s="95" t="s">
        <v>164</v>
      </c>
      <c r="E11" s="2" t="s">
        <v>270</v>
      </c>
      <c r="F11" s="2" t="s">
        <v>7</v>
      </c>
      <c r="G11" s="191">
        <f t="shared" ref="G11:H11" si="2">+G10</f>
        <v>2.9600000000000001E-2</v>
      </c>
      <c r="H11" s="191">
        <f t="shared" si="2"/>
        <v>0.1744</v>
      </c>
      <c r="I11" s="192">
        <v>44393</v>
      </c>
      <c r="J11" s="192">
        <v>44408</v>
      </c>
      <c r="K11" s="192">
        <v>42644</v>
      </c>
      <c r="L11" s="193" t="s">
        <v>310</v>
      </c>
      <c r="M11" s="81">
        <v>64604</v>
      </c>
      <c r="N11" s="69"/>
      <c r="O11" s="69">
        <f>M11+N11</f>
        <v>64604</v>
      </c>
      <c r="P11" s="69"/>
      <c r="Q11" s="69">
        <f>29043+28170.15</f>
        <v>57213.15</v>
      </c>
      <c r="R11" s="69"/>
      <c r="S11" s="70">
        <f>Q11+R11</f>
        <v>57213.15</v>
      </c>
    </row>
    <row r="12" spans="1:20" ht="30" customHeight="1" x14ac:dyDescent="0.25">
      <c r="B12" s="2" t="s">
        <v>318</v>
      </c>
      <c r="C12" s="243" t="s">
        <v>242</v>
      </c>
      <c r="D12" s="95" t="s">
        <v>243</v>
      </c>
      <c r="E12" s="2" t="s">
        <v>319</v>
      </c>
      <c r="F12" s="2" t="s">
        <v>7</v>
      </c>
      <c r="G12" s="191">
        <v>2.9600000000000001E-2</v>
      </c>
      <c r="H12" s="191">
        <v>0.1744</v>
      </c>
      <c r="I12" s="192">
        <v>44561</v>
      </c>
      <c r="J12" s="192">
        <v>44576</v>
      </c>
      <c r="K12" s="192">
        <v>43980</v>
      </c>
      <c r="L12" s="193" t="s">
        <v>320</v>
      </c>
      <c r="M12" s="81">
        <v>3000</v>
      </c>
      <c r="N12" s="69"/>
      <c r="O12" s="69">
        <f t="shared" ref="O12:O14" si="3">M12+N12</f>
        <v>3000</v>
      </c>
      <c r="P12" s="68"/>
      <c r="Q12" s="69"/>
      <c r="R12" s="69"/>
      <c r="S12" s="70">
        <f t="shared" ref="S12:S14" si="4">Q12+R12</f>
        <v>0</v>
      </c>
    </row>
    <row r="13" spans="1:20" ht="30" customHeight="1" x14ac:dyDescent="0.25">
      <c r="B13" s="2" t="s">
        <v>321</v>
      </c>
      <c r="C13" s="243" t="s">
        <v>264</v>
      </c>
      <c r="D13" s="95" t="s">
        <v>254</v>
      </c>
      <c r="E13" s="2" t="s">
        <v>322</v>
      </c>
      <c r="F13" s="2" t="s">
        <v>7</v>
      </c>
      <c r="G13" s="191">
        <v>2.9600000000000001E-2</v>
      </c>
      <c r="H13" s="191">
        <v>0.1744</v>
      </c>
      <c r="I13" s="192">
        <v>44742</v>
      </c>
      <c r="J13" s="192">
        <v>44757</v>
      </c>
      <c r="K13" s="192">
        <v>43979</v>
      </c>
      <c r="L13" s="193" t="s">
        <v>333</v>
      </c>
      <c r="M13" s="81">
        <v>1027</v>
      </c>
      <c r="N13" s="69"/>
      <c r="O13" s="69">
        <f t="shared" si="3"/>
        <v>1027</v>
      </c>
      <c r="P13" s="68"/>
      <c r="Q13" s="69"/>
      <c r="R13" s="69"/>
      <c r="S13" s="70">
        <f t="shared" si="4"/>
        <v>0</v>
      </c>
    </row>
    <row r="14" spans="1:20" ht="30" customHeight="1" x14ac:dyDescent="0.25">
      <c r="B14" s="2" t="s">
        <v>327</v>
      </c>
      <c r="C14" s="243" t="s">
        <v>242</v>
      </c>
      <c r="D14" s="95" t="s">
        <v>328</v>
      </c>
      <c r="E14" s="2" t="s">
        <v>329</v>
      </c>
      <c r="F14" s="2" t="s">
        <v>7</v>
      </c>
      <c r="G14" s="191">
        <v>2.9600000000000001E-2</v>
      </c>
      <c r="H14" s="191">
        <v>0.1744</v>
      </c>
      <c r="I14" s="192">
        <v>44440</v>
      </c>
      <c r="J14" s="192">
        <v>44440</v>
      </c>
      <c r="K14" s="192">
        <v>44201</v>
      </c>
      <c r="L14" s="193" t="s">
        <v>330</v>
      </c>
      <c r="M14" s="81">
        <v>81989.36</v>
      </c>
      <c r="N14" s="69"/>
      <c r="O14" s="69">
        <f t="shared" si="3"/>
        <v>81989.36</v>
      </c>
      <c r="P14" s="68"/>
      <c r="Q14" s="69"/>
      <c r="R14" s="69"/>
      <c r="S14" s="70">
        <f t="shared" si="4"/>
        <v>0</v>
      </c>
    </row>
    <row r="15" spans="1:20" x14ac:dyDescent="0.25">
      <c r="C15" s="95"/>
      <c r="D15" s="95"/>
      <c r="G15" s="207"/>
      <c r="H15" s="191"/>
      <c r="I15" s="192"/>
      <c r="J15" s="192"/>
      <c r="K15" s="192"/>
      <c r="L15" s="193"/>
      <c r="M15" s="25"/>
      <c r="N15" s="25"/>
      <c r="O15" s="25"/>
      <c r="P15" s="29"/>
      <c r="Q15" s="25"/>
      <c r="R15" s="25"/>
      <c r="S15" s="26"/>
    </row>
    <row r="16" spans="1:20" ht="23.25" customHeight="1" x14ac:dyDescent="0.25">
      <c r="C16" s="94"/>
      <c r="D16" s="94"/>
      <c r="I16" s="119"/>
      <c r="J16" s="119"/>
      <c r="K16" s="119"/>
      <c r="L16" s="5" t="s">
        <v>38</v>
      </c>
      <c r="M16" s="68">
        <f>SUM(M7:M15)</f>
        <v>244721.88</v>
      </c>
      <c r="N16" s="68">
        <f>SUM(N7:N15)</f>
        <v>1383</v>
      </c>
      <c r="O16" s="68">
        <f>SUM(O7:O15)</f>
        <v>246104.88</v>
      </c>
      <c r="Q16" s="68">
        <f>SUM(Q7:Q15)</f>
        <v>109695.62</v>
      </c>
      <c r="R16" s="68">
        <f>SUM(R7:R15)</f>
        <v>0</v>
      </c>
      <c r="S16" s="70">
        <f>SUM(S7:S15)</f>
        <v>109695.62</v>
      </c>
    </row>
    <row r="17" spans="2:19" x14ac:dyDescent="0.25">
      <c r="C17" s="94"/>
      <c r="D17" s="94"/>
      <c r="I17" s="119"/>
      <c r="J17" s="119"/>
      <c r="K17" s="119"/>
      <c r="L17" s="5"/>
      <c r="M17" s="68"/>
      <c r="N17" s="68"/>
      <c r="O17" s="68"/>
      <c r="Q17" s="68"/>
      <c r="R17" s="68"/>
      <c r="S17" s="70"/>
    </row>
    <row r="18" spans="2:19" x14ac:dyDescent="0.25">
      <c r="C18" s="94"/>
      <c r="D18" s="94"/>
      <c r="I18" s="119"/>
      <c r="J18" s="119"/>
      <c r="K18" s="119"/>
      <c r="L18" s="5"/>
      <c r="M18" s="68"/>
      <c r="N18" s="68"/>
      <c r="O18" s="68"/>
      <c r="Q18" s="68"/>
      <c r="R18" s="68"/>
      <c r="S18" s="70"/>
    </row>
    <row r="19" spans="2:19" x14ac:dyDescent="0.25">
      <c r="B19" s="8" t="s">
        <v>125</v>
      </c>
      <c r="C19" s="94"/>
      <c r="D19" s="94"/>
      <c r="L19" s="5"/>
      <c r="M19" s="68"/>
      <c r="N19" s="68"/>
      <c r="O19" s="68"/>
      <c r="Q19" s="68"/>
      <c r="R19" s="68"/>
      <c r="S19" s="70"/>
    </row>
    <row r="20" spans="2:19" ht="30" customHeight="1" x14ac:dyDescent="0.25">
      <c r="B20" s="338" t="s">
        <v>126</v>
      </c>
      <c r="C20" s="338"/>
      <c r="D20" s="338"/>
      <c r="E20" s="338"/>
      <c r="F20" s="338"/>
      <c r="G20" s="120"/>
      <c r="H20" s="120"/>
      <c r="I20" s="114"/>
      <c r="L20" s="5"/>
      <c r="M20" s="68"/>
      <c r="N20" s="68"/>
      <c r="O20" s="68"/>
      <c r="Q20" s="68"/>
      <c r="R20" s="68"/>
      <c r="S20" s="70"/>
    </row>
    <row r="21" spans="2:19" x14ac:dyDescent="0.25">
      <c r="C21" s="94"/>
      <c r="D21" s="94"/>
      <c r="L21" s="5"/>
      <c r="M21" s="68"/>
      <c r="N21" s="68"/>
      <c r="O21" s="68"/>
      <c r="Q21" s="68"/>
      <c r="R21" s="68"/>
      <c r="S21" s="70"/>
    </row>
    <row r="22" spans="2:19" ht="48.75" customHeight="1" x14ac:dyDescent="0.25">
      <c r="B22" s="338" t="s">
        <v>129</v>
      </c>
      <c r="C22" s="338"/>
      <c r="D22" s="338"/>
      <c r="E22" s="338"/>
      <c r="F22" s="338"/>
      <c r="G22" s="120"/>
      <c r="H22" s="120"/>
      <c r="I22" s="114"/>
      <c r="L22" s="5"/>
      <c r="M22" s="68"/>
      <c r="N22" s="68"/>
      <c r="O22" s="68"/>
      <c r="Q22" s="68"/>
      <c r="R22" s="68"/>
      <c r="S22" s="70"/>
    </row>
    <row r="23" spans="2:19" x14ac:dyDescent="0.25">
      <c r="B23" s="111"/>
      <c r="C23" s="111"/>
      <c r="D23" s="111"/>
      <c r="E23" s="111"/>
      <c r="F23" s="111"/>
      <c r="G23" s="120"/>
      <c r="H23" s="120"/>
      <c r="I23" s="114"/>
      <c r="L23" s="5"/>
      <c r="M23" s="68"/>
      <c r="N23" s="68"/>
      <c r="O23" s="68"/>
      <c r="Q23" s="68"/>
      <c r="R23" s="68"/>
      <c r="S23" s="70"/>
    </row>
    <row r="24" spans="2:19" ht="30" customHeight="1" x14ac:dyDescent="0.25">
      <c r="B24" s="338" t="s">
        <v>160</v>
      </c>
      <c r="C24" s="338"/>
      <c r="D24" s="338"/>
      <c r="E24" s="338"/>
      <c r="F24" s="338"/>
      <c r="G24" s="198"/>
      <c r="H24" s="198"/>
      <c r="I24" s="198"/>
      <c r="L24" s="5"/>
      <c r="M24" s="68"/>
      <c r="N24" s="68"/>
      <c r="O24" s="68"/>
      <c r="Q24" s="68"/>
      <c r="R24" s="68"/>
      <c r="S24" s="70"/>
    </row>
    <row r="25" spans="2:19" ht="15" customHeight="1" x14ac:dyDescent="0.25">
      <c r="B25" s="346" t="s">
        <v>159</v>
      </c>
      <c r="C25" s="338"/>
      <c r="D25" s="338"/>
      <c r="E25" s="338"/>
      <c r="F25" s="338"/>
      <c r="G25" s="198"/>
      <c r="H25" s="198"/>
      <c r="I25" s="198"/>
      <c r="L25" s="5"/>
      <c r="M25" s="68"/>
      <c r="N25" s="68"/>
      <c r="O25" s="68"/>
      <c r="Q25" s="68"/>
      <c r="R25" s="68"/>
      <c r="S25" s="70"/>
    </row>
    <row r="26" spans="2:19" ht="15" customHeight="1" x14ac:dyDescent="0.25">
      <c r="B26" s="200"/>
      <c r="C26" s="200"/>
      <c r="D26" s="200"/>
      <c r="E26" s="200"/>
      <c r="F26" s="200"/>
      <c r="G26" s="200"/>
      <c r="H26" s="200"/>
      <c r="I26" s="200"/>
      <c r="L26" s="5"/>
      <c r="M26" s="68"/>
      <c r="N26" s="68"/>
      <c r="O26" s="68"/>
      <c r="Q26" s="68"/>
      <c r="R26" s="68"/>
      <c r="S26" s="70"/>
    </row>
    <row r="27" spans="2:19" x14ac:dyDescent="0.25">
      <c r="B27" s="7" t="s">
        <v>109</v>
      </c>
      <c r="C27" s="104" t="s">
        <v>112</v>
      </c>
      <c r="D27" s="104" t="s">
        <v>113</v>
      </c>
      <c r="E27" s="111"/>
      <c r="F27" s="111"/>
      <c r="G27" s="120"/>
      <c r="H27" s="120"/>
      <c r="I27" s="114"/>
      <c r="L27" s="5"/>
      <c r="M27" s="68"/>
      <c r="N27" s="68"/>
      <c r="O27" s="68"/>
      <c r="Q27" s="68"/>
      <c r="R27" s="68"/>
      <c r="S27" s="70"/>
    </row>
    <row r="28" spans="2:19" x14ac:dyDescent="0.25">
      <c r="B28" s="2" t="s">
        <v>110</v>
      </c>
      <c r="C28" s="94" t="s">
        <v>116</v>
      </c>
      <c r="D28" s="94" t="s">
        <v>118</v>
      </c>
      <c r="E28" s="111"/>
      <c r="F28" s="111"/>
      <c r="G28" s="120"/>
      <c r="H28" s="120"/>
      <c r="I28" s="114"/>
      <c r="L28" s="5"/>
      <c r="M28" s="68"/>
      <c r="N28" s="68"/>
      <c r="O28" s="68"/>
      <c r="Q28" s="68"/>
      <c r="R28" s="68"/>
      <c r="S28" s="70"/>
    </row>
    <row r="29" spans="2:19" x14ac:dyDescent="0.25">
      <c r="B29" s="2" t="s">
        <v>252</v>
      </c>
      <c r="C29" s="94" t="s">
        <v>135</v>
      </c>
      <c r="D29" s="94" t="s">
        <v>147</v>
      </c>
      <c r="L29" s="5"/>
      <c r="M29" s="68"/>
      <c r="N29" s="68"/>
      <c r="O29" s="68"/>
      <c r="Q29" s="68"/>
      <c r="R29" s="68"/>
      <c r="S29" s="70"/>
    </row>
    <row r="30" spans="2:19" x14ac:dyDescent="0.25">
      <c r="B30" s="2" t="s">
        <v>260</v>
      </c>
      <c r="C30" s="94" t="s">
        <v>135</v>
      </c>
      <c r="D30" s="94" t="s">
        <v>147</v>
      </c>
      <c r="L30" s="5"/>
      <c r="M30" s="68"/>
      <c r="N30" s="68"/>
      <c r="O30" s="68"/>
      <c r="Q30" s="68"/>
      <c r="R30" s="68"/>
      <c r="S30" s="70"/>
    </row>
    <row r="31" spans="2:19" x14ac:dyDescent="0.25">
      <c r="B31" s="2" t="s">
        <v>267</v>
      </c>
      <c r="C31" s="94" t="s">
        <v>135</v>
      </c>
      <c r="D31" s="94" t="s">
        <v>147</v>
      </c>
      <c r="L31" s="5"/>
      <c r="M31" s="68"/>
      <c r="N31" s="68"/>
      <c r="O31" s="68"/>
      <c r="Q31" s="68"/>
      <c r="R31" s="68"/>
      <c r="S31" s="70"/>
    </row>
    <row r="32" spans="2:19" x14ac:dyDescent="0.25">
      <c r="B32" s="2" t="s">
        <v>318</v>
      </c>
      <c r="C32" s="94" t="s">
        <v>135</v>
      </c>
      <c r="D32" s="94" t="s">
        <v>147</v>
      </c>
      <c r="L32" s="5"/>
      <c r="M32" s="68"/>
      <c r="N32" s="68"/>
      <c r="O32" s="68"/>
      <c r="Q32" s="68"/>
      <c r="R32" s="68"/>
      <c r="S32" s="70"/>
    </row>
    <row r="33" spans="2:20" x14ac:dyDescent="0.25">
      <c r="B33" s="2" t="s">
        <v>321</v>
      </c>
      <c r="C33" s="94" t="s">
        <v>135</v>
      </c>
      <c r="D33" s="94" t="s">
        <v>147</v>
      </c>
      <c r="L33" s="5"/>
      <c r="M33" s="68"/>
      <c r="N33" s="68"/>
      <c r="O33" s="68"/>
      <c r="Q33" s="68"/>
      <c r="R33" s="68"/>
      <c r="S33" s="70"/>
    </row>
    <row r="34" spans="2:20" x14ac:dyDescent="0.25">
      <c r="B34" s="2" t="s">
        <v>326</v>
      </c>
      <c r="C34" s="94" t="s">
        <v>135</v>
      </c>
      <c r="D34" s="94" t="s">
        <v>147</v>
      </c>
      <c r="L34" s="5"/>
      <c r="M34" s="68"/>
      <c r="N34" s="68"/>
      <c r="O34" s="68"/>
      <c r="Q34" s="68"/>
      <c r="R34" s="68"/>
      <c r="S34" s="70"/>
    </row>
    <row r="35" spans="2:20" x14ac:dyDescent="0.25">
      <c r="C35" s="94"/>
      <c r="D35" s="94"/>
      <c r="L35" s="5"/>
      <c r="M35" s="68"/>
      <c r="N35" s="68"/>
      <c r="O35" s="68"/>
      <c r="Q35" s="68"/>
      <c r="R35" s="68"/>
      <c r="S35" s="70"/>
    </row>
    <row r="36" spans="2:20" x14ac:dyDescent="0.25">
      <c r="B36" s="270" t="s">
        <v>235</v>
      </c>
      <c r="C36" s="94"/>
      <c r="D36" s="94"/>
      <c r="L36" s="5"/>
      <c r="M36" s="68"/>
      <c r="N36" s="68"/>
      <c r="O36" s="68"/>
      <c r="Q36" s="68"/>
      <c r="R36" s="68"/>
      <c r="S36" s="70"/>
    </row>
    <row r="37" spans="2:20" x14ac:dyDescent="0.25">
      <c r="B37" s="266" t="s">
        <v>236</v>
      </c>
      <c r="C37" s="42"/>
      <c r="D37" s="42"/>
      <c r="E37" s="29"/>
      <c r="F37" s="29"/>
      <c r="G37" s="29"/>
      <c r="H37" s="29"/>
      <c r="I37" s="29"/>
      <c r="J37" s="29"/>
      <c r="K37" s="29"/>
      <c r="L37" s="29"/>
      <c r="M37" s="29"/>
      <c r="N37" s="29"/>
      <c r="O37" s="29"/>
      <c r="P37" s="29"/>
      <c r="Q37" s="29"/>
      <c r="R37" s="29"/>
      <c r="S37" s="27"/>
    </row>
    <row r="38" spans="2:20" x14ac:dyDescent="0.25">
      <c r="B38" s="29"/>
      <c r="C38" s="42"/>
      <c r="D38" s="42"/>
      <c r="E38" s="29"/>
      <c r="F38" s="29"/>
      <c r="G38" s="29"/>
      <c r="H38" s="29"/>
      <c r="I38" s="29"/>
      <c r="J38" s="29"/>
      <c r="K38" s="29"/>
      <c r="L38" s="29"/>
      <c r="M38" s="29"/>
      <c r="N38" s="29"/>
      <c r="O38" s="29"/>
      <c r="P38" s="29"/>
      <c r="Q38" s="29"/>
      <c r="R38" s="29"/>
      <c r="S38" s="27"/>
    </row>
    <row r="39" spans="2:20" x14ac:dyDescent="0.25">
      <c r="B39" s="112"/>
      <c r="C39" s="112"/>
      <c r="D39" s="112"/>
      <c r="E39" s="112"/>
      <c r="F39" s="112"/>
      <c r="G39" s="112"/>
      <c r="H39" s="112"/>
      <c r="I39" s="112"/>
      <c r="J39" s="112"/>
      <c r="K39" s="112"/>
      <c r="L39" s="112"/>
      <c r="M39" s="112"/>
      <c r="N39" s="112"/>
      <c r="O39" s="112"/>
      <c r="P39" s="112"/>
      <c r="Q39" s="171" t="s">
        <v>90</v>
      </c>
      <c r="R39" s="168"/>
      <c r="S39" s="169"/>
    </row>
    <row r="40" spans="2:20" ht="15" customHeight="1" x14ac:dyDescent="0.25">
      <c r="B40" s="17" t="s">
        <v>39</v>
      </c>
      <c r="C40" s="98" t="s">
        <v>2</v>
      </c>
      <c r="D40" s="98"/>
      <c r="E40" s="98" t="s">
        <v>34</v>
      </c>
      <c r="F40" s="98" t="s">
        <v>35</v>
      </c>
      <c r="G40" s="123"/>
      <c r="H40" s="123"/>
      <c r="I40" s="117"/>
      <c r="J40" s="98"/>
      <c r="K40" s="98"/>
      <c r="L40" s="98" t="s">
        <v>36</v>
      </c>
      <c r="M40" s="98" t="s">
        <v>37</v>
      </c>
      <c r="N40" s="47"/>
      <c r="O40" s="47"/>
      <c r="P40" s="47"/>
      <c r="Q40" s="54" t="s">
        <v>88</v>
      </c>
      <c r="R40" s="52"/>
      <c r="S40" s="53"/>
      <c r="T40" s="51"/>
    </row>
    <row r="41" spans="2:20" ht="15" customHeight="1" x14ac:dyDescent="0.25">
      <c r="B41" s="65"/>
      <c r="C41" s="9"/>
      <c r="D41" s="9"/>
      <c r="E41" s="9"/>
      <c r="F41" s="9"/>
      <c r="G41" s="9"/>
      <c r="H41" s="9"/>
      <c r="I41" s="9"/>
      <c r="J41" s="9"/>
      <c r="K41" s="9"/>
      <c r="L41" s="9"/>
      <c r="M41" s="9"/>
      <c r="N41" s="45"/>
      <c r="O41" s="45"/>
      <c r="P41" s="45"/>
      <c r="Q41" s="59"/>
      <c r="R41" s="50"/>
      <c r="S41" s="50"/>
      <c r="T41" s="51"/>
    </row>
    <row r="42" spans="2:20" ht="15" customHeight="1" x14ac:dyDescent="0.25">
      <c r="B42" s="65"/>
      <c r="C42" s="9"/>
      <c r="D42" s="9"/>
      <c r="E42" s="9"/>
      <c r="F42" s="9"/>
      <c r="G42" s="9"/>
      <c r="H42" s="9"/>
      <c r="I42" s="9"/>
      <c r="J42" s="9"/>
      <c r="K42" s="9"/>
      <c r="L42" s="9"/>
      <c r="M42" s="9"/>
      <c r="N42" s="45"/>
      <c r="O42" s="45"/>
      <c r="P42" s="45"/>
      <c r="R42" s="51"/>
      <c r="S42" s="51"/>
      <c r="T42" s="51"/>
    </row>
    <row r="43" spans="2:20" x14ac:dyDescent="0.25">
      <c r="B43" s="12"/>
      <c r="C43" s="13"/>
      <c r="D43" s="13"/>
      <c r="E43" s="41"/>
      <c r="F43" s="15"/>
      <c r="G43" s="15"/>
      <c r="H43" s="15"/>
      <c r="I43" s="15"/>
      <c r="J43" s="15"/>
      <c r="K43" s="15"/>
      <c r="L43" s="16"/>
      <c r="M43" s="31"/>
      <c r="Q43" s="51"/>
      <c r="R43" s="51"/>
      <c r="S43" s="51"/>
      <c r="T43" s="51"/>
    </row>
    <row r="44" spans="2:20" x14ac:dyDescent="0.25">
      <c r="B44" s="12"/>
      <c r="C44" s="13"/>
      <c r="D44" s="13"/>
      <c r="E44" s="41"/>
      <c r="F44" s="15"/>
      <c r="G44" s="15"/>
      <c r="H44" s="15"/>
      <c r="I44" s="15"/>
      <c r="J44" s="15"/>
      <c r="K44" s="15"/>
      <c r="L44" s="16"/>
      <c r="M44" s="31"/>
      <c r="Q44" s="51"/>
      <c r="R44" s="51"/>
      <c r="S44" s="51"/>
      <c r="T44" s="51"/>
    </row>
    <row r="45" spans="2:20" x14ac:dyDescent="0.25">
      <c r="B45" s="12"/>
      <c r="C45" s="13"/>
      <c r="D45" s="13"/>
      <c r="E45" s="41"/>
      <c r="F45" s="15"/>
      <c r="G45" s="15"/>
      <c r="H45" s="15"/>
      <c r="I45" s="15"/>
      <c r="J45" s="15"/>
      <c r="K45" s="15"/>
      <c r="L45" s="16"/>
      <c r="M45" s="31"/>
      <c r="Q45" s="51"/>
      <c r="R45" s="51"/>
      <c r="S45" s="51"/>
      <c r="T45" s="51"/>
    </row>
    <row r="46" spans="2:20" x14ac:dyDescent="0.25">
      <c r="B46" s="12"/>
      <c r="C46" s="13"/>
      <c r="D46" s="13"/>
      <c r="E46" s="41"/>
      <c r="F46" s="15"/>
      <c r="G46" s="15"/>
      <c r="H46" s="15"/>
      <c r="I46" s="15"/>
      <c r="J46" s="15"/>
      <c r="K46" s="15"/>
      <c r="L46" s="16"/>
      <c r="M46" s="31"/>
      <c r="T46" s="51"/>
    </row>
    <row r="47" spans="2:20" ht="15" customHeight="1" x14ac:dyDescent="0.25">
      <c r="B47" s="12"/>
      <c r="C47" s="13"/>
      <c r="D47" s="13"/>
      <c r="E47" s="41"/>
      <c r="F47" s="15"/>
      <c r="G47" s="15"/>
      <c r="H47" s="15"/>
      <c r="I47" s="15"/>
      <c r="J47" s="15"/>
      <c r="K47" s="15"/>
      <c r="L47" s="16"/>
      <c r="M47" s="20"/>
      <c r="N47" s="18"/>
      <c r="O47" s="18"/>
      <c r="P47" s="18"/>
    </row>
    <row r="48" spans="2:20" x14ac:dyDescent="0.25">
      <c r="B48" s="36"/>
      <c r="C48" s="40"/>
      <c r="D48" s="40"/>
      <c r="E48" s="41"/>
      <c r="F48" s="38"/>
      <c r="G48" s="38"/>
      <c r="H48" s="38"/>
      <c r="I48" s="38"/>
      <c r="J48" s="38"/>
      <c r="K48" s="38"/>
      <c r="L48" s="39"/>
      <c r="M48" s="34"/>
      <c r="N48" s="107"/>
      <c r="O48" s="29"/>
      <c r="P48" s="29"/>
    </row>
    <row r="49" spans="2:19" x14ac:dyDescent="0.25">
      <c r="C49" s="40"/>
      <c r="D49" s="40"/>
      <c r="E49" s="41"/>
      <c r="F49" s="71"/>
      <c r="G49" s="71"/>
      <c r="H49" s="71"/>
      <c r="I49" s="71"/>
      <c r="J49" s="71"/>
      <c r="K49" s="71"/>
      <c r="L49" s="33"/>
      <c r="M49" s="31"/>
      <c r="N49" s="107"/>
    </row>
    <row r="50" spans="2:19" x14ac:dyDescent="0.25">
      <c r="C50" s="40"/>
      <c r="D50" s="40"/>
      <c r="E50" s="41"/>
      <c r="F50" s="71"/>
      <c r="G50" s="71"/>
      <c r="H50" s="71"/>
      <c r="I50" s="71"/>
      <c r="J50" s="71"/>
      <c r="K50" s="71"/>
      <c r="L50" s="33"/>
      <c r="M50" s="31"/>
      <c r="N50" s="108"/>
      <c r="Q50" s="325" t="s">
        <v>343</v>
      </c>
      <c r="R50" s="325"/>
      <c r="S50" s="327">
        <f>S16</f>
        <v>109695.62</v>
      </c>
    </row>
    <row r="51" spans="2:19" x14ac:dyDescent="0.25">
      <c r="C51" s="40"/>
      <c r="D51" s="40"/>
      <c r="E51" s="41"/>
      <c r="F51" s="71"/>
      <c r="G51" s="71"/>
      <c r="H51" s="71"/>
      <c r="I51" s="71"/>
      <c r="J51" s="71"/>
      <c r="K51" s="71"/>
      <c r="L51" s="33"/>
      <c r="M51" s="35"/>
      <c r="N51" s="37"/>
      <c r="O51" s="37"/>
      <c r="P51" s="29"/>
    </row>
    <row r="52" spans="2:19" ht="15" customHeight="1" x14ac:dyDescent="0.25">
      <c r="B52" s="36"/>
      <c r="C52" s="40"/>
      <c r="D52" s="40"/>
      <c r="E52" s="41"/>
      <c r="F52" s="38"/>
      <c r="G52" s="38"/>
      <c r="H52" s="38"/>
      <c r="I52" s="38"/>
      <c r="J52" s="38"/>
      <c r="K52" s="38"/>
      <c r="L52" s="33"/>
      <c r="M52" s="31"/>
      <c r="N52" s="101"/>
      <c r="O52" s="101"/>
      <c r="P52" s="29"/>
    </row>
    <row r="53" spans="2:19" x14ac:dyDescent="0.25">
      <c r="B53" s="36"/>
      <c r="C53" s="40"/>
      <c r="D53" s="40"/>
      <c r="E53" s="41"/>
      <c r="F53" s="38"/>
      <c r="G53" s="38"/>
      <c r="H53" s="38"/>
      <c r="I53" s="38"/>
      <c r="J53" s="38"/>
      <c r="K53" s="38"/>
      <c r="L53" s="33"/>
      <c r="M53" s="31"/>
      <c r="N53" s="101"/>
      <c r="O53" s="101"/>
      <c r="P53" s="29"/>
    </row>
    <row r="54" spans="2:19" x14ac:dyDescent="0.25">
      <c r="B54" s="36"/>
      <c r="C54" s="40"/>
      <c r="D54" s="40"/>
      <c r="E54" s="41"/>
      <c r="F54" s="38"/>
      <c r="G54" s="38"/>
      <c r="H54" s="38"/>
      <c r="I54" s="38"/>
      <c r="J54" s="38"/>
      <c r="K54" s="38"/>
      <c r="L54" s="33"/>
      <c r="M54" s="31"/>
      <c r="N54" s="101"/>
      <c r="O54" s="101"/>
      <c r="P54" s="29"/>
    </row>
    <row r="55" spans="2:19" ht="16.5" customHeight="1" x14ac:dyDescent="0.25">
      <c r="B55" s="36"/>
      <c r="C55" s="40"/>
      <c r="D55" s="40"/>
      <c r="E55" s="41"/>
      <c r="F55" s="38"/>
      <c r="G55" s="38"/>
      <c r="H55" s="38"/>
      <c r="I55" s="38"/>
      <c r="J55" s="38"/>
      <c r="K55" s="38"/>
      <c r="L55" s="39"/>
      <c r="M55" s="20"/>
      <c r="N55" s="101"/>
      <c r="O55" s="101"/>
      <c r="P55" s="29"/>
    </row>
    <row r="56" spans="2:19" ht="15" hidden="1" customHeight="1" x14ac:dyDescent="0.25"/>
    <row r="57" spans="2:19" ht="15" customHeight="1" x14ac:dyDescent="0.25">
      <c r="E57" s="21"/>
      <c r="F57" s="105"/>
      <c r="G57" s="105"/>
      <c r="H57" s="105"/>
      <c r="I57" s="105"/>
      <c r="J57" s="105"/>
      <c r="K57" s="105"/>
    </row>
    <row r="60" spans="2:19" ht="15" customHeight="1" x14ac:dyDescent="0.25"/>
  </sheetData>
  <mergeCells count="6">
    <mergeCell ref="B25:F25"/>
    <mergeCell ref="Q1:S1"/>
    <mergeCell ref="Q2:S2"/>
    <mergeCell ref="B20:F20"/>
    <mergeCell ref="B22:F22"/>
    <mergeCell ref="B24:F24"/>
  </mergeCells>
  <hyperlinks>
    <hyperlink ref="B25" r:id="rId1"/>
  </hyperlinks>
  <printOptions horizontalCentered="1" gridLines="1"/>
  <pageMargins left="0" right="0" top="0.75" bottom="0.75" header="0.3" footer="0.3"/>
  <pageSetup scale="51" orientation="landscape" horizontalDpi="1200" verticalDpi="12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5"/>
  <sheetViews>
    <sheetView topLeftCell="D23" zoomScale="110" zoomScaleNormal="110" workbookViewId="0">
      <selection activeCell="S50" sqref="S50"/>
    </sheetView>
  </sheetViews>
  <sheetFormatPr defaultColWidth="9.140625" defaultRowHeight="15" x14ac:dyDescent="0.25"/>
  <cols>
    <col min="1" max="1" width="15.42578125" style="2" hidden="1" customWidth="1"/>
    <col min="2" max="2" width="58.5703125" style="2" customWidth="1"/>
    <col min="3" max="3" width="30.85546875" style="2" customWidth="1"/>
    <col min="4" max="4" width="13.7109375" style="2" customWidth="1"/>
    <col min="5" max="5" width="17" style="2" customWidth="1"/>
    <col min="6" max="6" width="20.85546875" style="2" customWidth="1"/>
    <col min="7" max="7" width="10.7109375" style="2" customWidth="1"/>
    <col min="8" max="8" width="12.5703125" style="2" customWidth="1"/>
    <col min="9" max="9" width="13.28515625" style="2" customWidth="1"/>
    <col min="10" max="10" width="14.7109375" style="2" customWidth="1"/>
    <col min="11" max="11" width="10.42578125" style="2" customWidth="1"/>
    <col min="12" max="12" width="18.7109375" style="2" customWidth="1"/>
    <col min="13" max="13" width="13.28515625" style="2" customWidth="1"/>
    <col min="14" max="14" width="13.7109375" style="2" customWidth="1"/>
    <col min="15" max="15" width="14.42578125" style="2" customWidth="1"/>
    <col min="16" max="16" width="3.140625" style="2" customWidth="1"/>
    <col min="17" max="17" width="19.140625" style="2" customWidth="1"/>
    <col min="18" max="18" width="14.140625" style="2" customWidth="1"/>
    <col min="19" max="19" width="16.7109375" style="2" customWidth="1"/>
    <col min="20" max="16384" width="9.140625" style="2"/>
  </cols>
  <sheetData>
    <row r="1" spans="1:20" ht="18" customHeight="1" x14ac:dyDescent="0.25">
      <c r="A1" s="2" t="s">
        <v>342</v>
      </c>
      <c r="B1" s="1" t="s">
        <v>42</v>
      </c>
      <c r="Q1" s="335" t="s">
        <v>230</v>
      </c>
      <c r="R1" s="335"/>
      <c r="S1" s="335"/>
    </row>
    <row r="2" spans="1:20" ht="18" customHeight="1" x14ac:dyDescent="0.25">
      <c r="B2" s="90" t="s">
        <v>148</v>
      </c>
      <c r="C2" s="187">
        <v>44377</v>
      </c>
      <c r="M2" s="73"/>
      <c r="N2" s="73"/>
      <c r="P2" s="29"/>
      <c r="Q2" s="334" t="s">
        <v>338</v>
      </c>
      <c r="R2" s="334"/>
      <c r="S2" s="334"/>
    </row>
    <row r="3" spans="1:20" ht="18" customHeight="1" thickBot="1" x14ac:dyDescent="0.3">
      <c r="A3" s="2" t="s">
        <v>16</v>
      </c>
      <c r="B3" s="44" t="s">
        <v>60</v>
      </c>
      <c r="C3" s="8"/>
      <c r="D3" s="8"/>
      <c r="E3" s="8"/>
      <c r="P3" s="29"/>
      <c r="Q3" s="45"/>
      <c r="R3" s="30"/>
    </row>
    <row r="4" spans="1:20" ht="18.75" customHeight="1" x14ac:dyDescent="0.25">
      <c r="B4" s="8" t="s">
        <v>174</v>
      </c>
      <c r="M4" s="87" t="s">
        <v>28</v>
      </c>
      <c r="N4" s="87" t="s">
        <v>28</v>
      </c>
      <c r="O4" s="87" t="s">
        <v>28</v>
      </c>
      <c r="P4" s="9"/>
      <c r="Q4" s="91" t="s">
        <v>29</v>
      </c>
      <c r="R4" s="91" t="s">
        <v>31</v>
      </c>
      <c r="S4" s="91" t="s">
        <v>23</v>
      </c>
      <c r="T4" s="7"/>
    </row>
    <row r="5" spans="1:20" ht="15.75" thickBot="1" x14ac:dyDescent="0.3">
      <c r="G5" s="188" t="s">
        <v>231</v>
      </c>
      <c r="H5" s="188" t="s">
        <v>231</v>
      </c>
      <c r="M5" s="88" t="s">
        <v>27</v>
      </c>
      <c r="N5" s="88" t="s">
        <v>26</v>
      </c>
      <c r="O5" s="88" t="s">
        <v>25</v>
      </c>
      <c r="P5" s="9"/>
      <c r="Q5" s="92" t="s">
        <v>30</v>
      </c>
      <c r="R5" s="92" t="s">
        <v>30</v>
      </c>
      <c r="S5" s="92" t="s">
        <v>30</v>
      </c>
      <c r="T5" s="7"/>
    </row>
    <row r="6" spans="1:20" ht="85.5" customHeight="1" thickBot="1" x14ac:dyDescent="0.3">
      <c r="B6" s="86" t="s">
        <v>105</v>
      </c>
      <c r="C6" s="86" t="s">
        <v>127</v>
      </c>
      <c r="D6" s="86" t="s">
        <v>107</v>
      </c>
      <c r="E6" s="86" t="s">
        <v>3</v>
      </c>
      <c r="F6" s="86" t="s">
        <v>4</v>
      </c>
      <c r="G6" s="110" t="s">
        <v>136</v>
      </c>
      <c r="H6" s="110" t="s">
        <v>137</v>
      </c>
      <c r="I6" s="110" t="s">
        <v>133</v>
      </c>
      <c r="J6" s="110" t="s">
        <v>134</v>
      </c>
      <c r="K6" s="110" t="s">
        <v>121</v>
      </c>
      <c r="L6" s="85" t="s">
        <v>5</v>
      </c>
      <c r="M6" s="89" t="s">
        <v>6</v>
      </c>
      <c r="N6" s="89" t="s">
        <v>6</v>
      </c>
      <c r="O6" s="89" t="s">
        <v>6</v>
      </c>
      <c r="P6" s="9"/>
      <c r="Q6" s="93"/>
      <c r="R6" s="99" t="s">
        <v>32</v>
      </c>
      <c r="S6" s="100" t="s">
        <v>33</v>
      </c>
    </row>
    <row r="7" spans="1:20" ht="24" customHeight="1" x14ac:dyDescent="0.25">
      <c r="A7" s="2">
        <v>4201</v>
      </c>
      <c r="B7" s="2" t="s">
        <v>8</v>
      </c>
      <c r="C7" s="94" t="s">
        <v>106</v>
      </c>
      <c r="D7" s="94" t="s">
        <v>246</v>
      </c>
      <c r="E7" s="2" t="s">
        <v>232</v>
      </c>
      <c r="F7" s="2" t="s">
        <v>7</v>
      </c>
      <c r="G7" s="191">
        <v>2.9600000000000001E-2</v>
      </c>
      <c r="H7" s="191">
        <v>0.1744</v>
      </c>
      <c r="I7" s="192">
        <v>44377</v>
      </c>
      <c r="J7" s="192">
        <v>44378</v>
      </c>
      <c r="K7" s="194">
        <v>44013</v>
      </c>
      <c r="L7" s="193" t="s">
        <v>234</v>
      </c>
      <c r="M7" s="67">
        <v>250081.02</v>
      </c>
      <c r="N7" s="69">
        <f>250364.52-M7</f>
        <v>283.5</v>
      </c>
      <c r="O7" s="69">
        <f>M7+N7</f>
        <v>250364.52</v>
      </c>
      <c r="P7" s="69"/>
      <c r="Q7" s="69">
        <f>17936.26+20935.26+28018.76+18869.61+16006.19+21794.61+37289.23+38789.22+19158.4+19135.29+10082.46</f>
        <v>248015.29</v>
      </c>
      <c r="R7" s="69"/>
      <c r="S7" s="70">
        <f t="shared" ref="S7:S18" si="0">Q7+R7</f>
        <v>248015.29</v>
      </c>
    </row>
    <row r="8" spans="1:20" ht="36.75" customHeight="1" x14ac:dyDescent="0.25">
      <c r="A8" s="2">
        <v>4253</v>
      </c>
      <c r="B8" s="2" t="s">
        <v>128</v>
      </c>
      <c r="C8" s="97" t="s">
        <v>122</v>
      </c>
      <c r="D8" s="95" t="s">
        <v>248</v>
      </c>
      <c r="E8" s="2" t="s">
        <v>233</v>
      </c>
      <c r="F8" s="2" t="s">
        <v>7</v>
      </c>
      <c r="G8" s="191">
        <f>+G7</f>
        <v>2.9600000000000001E-2</v>
      </c>
      <c r="H8" s="191">
        <f t="shared" ref="H8" si="1">+H7</f>
        <v>0.1744</v>
      </c>
      <c r="I8" s="192">
        <f>+I7</f>
        <v>44377</v>
      </c>
      <c r="J8" s="192">
        <f t="shared" ref="J8:L8" si="2">+J7</f>
        <v>44378</v>
      </c>
      <c r="K8" s="192">
        <f t="shared" si="2"/>
        <v>44013</v>
      </c>
      <c r="L8" s="194" t="str">
        <f t="shared" si="2"/>
        <v>07/01/20 - 06/30/21</v>
      </c>
      <c r="M8" s="67">
        <v>20914.900000000001</v>
      </c>
      <c r="N8" s="69"/>
      <c r="O8" s="69">
        <f>M8+N8</f>
        <v>20914.900000000001</v>
      </c>
      <c r="P8" s="69"/>
      <c r="Q8" s="69">
        <v>20914.900000000001</v>
      </c>
      <c r="R8" s="69"/>
      <c r="S8" s="70">
        <f t="shared" si="0"/>
        <v>20914.900000000001</v>
      </c>
    </row>
    <row r="9" spans="1:20" ht="31.5" customHeight="1" x14ac:dyDescent="0.25">
      <c r="A9" s="2">
        <v>4451</v>
      </c>
      <c r="B9" s="2" t="s">
        <v>22</v>
      </c>
      <c r="C9" s="97" t="s">
        <v>185</v>
      </c>
      <c r="D9" s="94" t="s">
        <v>172</v>
      </c>
      <c r="E9" s="2" t="s">
        <v>199</v>
      </c>
      <c r="F9" s="2" t="s">
        <v>7</v>
      </c>
      <c r="G9" s="191">
        <f>+G8</f>
        <v>2.9600000000000001E-2</v>
      </c>
      <c r="H9" s="191">
        <f>+H8</f>
        <v>0.1744</v>
      </c>
      <c r="I9" s="192">
        <v>44439</v>
      </c>
      <c r="J9" s="192">
        <v>44438</v>
      </c>
      <c r="K9" s="288">
        <f>+K8</f>
        <v>44013</v>
      </c>
      <c r="L9" s="194" t="s">
        <v>339</v>
      </c>
      <c r="M9" s="67">
        <v>21577</v>
      </c>
      <c r="N9" s="240"/>
      <c r="O9" s="69">
        <f t="shared" ref="O9" si="3">M9+N9</f>
        <v>21577</v>
      </c>
      <c r="P9" s="69"/>
      <c r="Q9" s="69">
        <v>2577</v>
      </c>
      <c r="R9" s="69"/>
      <c r="S9" s="70">
        <f t="shared" si="0"/>
        <v>2577</v>
      </c>
    </row>
    <row r="10" spans="1:20" ht="34.5" customHeight="1" x14ac:dyDescent="0.25">
      <c r="B10" s="2" t="s">
        <v>241</v>
      </c>
      <c r="C10" s="243" t="s">
        <v>242</v>
      </c>
      <c r="D10" s="95" t="s">
        <v>243</v>
      </c>
      <c r="E10" s="2" t="s">
        <v>244</v>
      </c>
      <c r="F10" s="2" t="s">
        <v>7</v>
      </c>
      <c r="G10" s="191">
        <f t="shared" ref="G10:H12" si="4">+G9</f>
        <v>2.9600000000000001E-2</v>
      </c>
      <c r="H10" s="191">
        <f t="shared" si="4"/>
        <v>0.1744</v>
      </c>
      <c r="I10" s="192">
        <v>44834</v>
      </c>
      <c r="J10" s="192">
        <v>44849</v>
      </c>
      <c r="K10" s="192">
        <v>43614</v>
      </c>
      <c r="L10" s="193" t="s">
        <v>311</v>
      </c>
      <c r="M10" s="67">
        <v>147217.76999999999</v>
      </c>
      <c r="N10" s="240"/>
      <c r="O10" s="69">
        <f>M10+N10</f>
        <v>147217.76999999999</v>
      </c>
      <c r="P10" s="69"/>
      <c r="Q10" s="69">
        <v>9745.5</v>
      </c>
      <c r="R10" s="69"/>
      <c r="S10" s="70">
        <f t="shared" si="0"/>
        <v>9745.5</v>
      </c>
    </row>
    <row r="11" spans="1:20" ht="34.5" customHeight="1" x14ac:dyDescent="0.25">
      <c r="B11" s="2" t="s">
        <v>283</v>
      </c>
      <c r="C11" s="243" t="s">
        <v>264</v>
      </c>
      <c r="D11" s="95" t="s">
        <v>254</v>
      </c>
      <c r="E11" s="2" t="s">
        <v>284</v>
      </c>
      <c r="F11" s="2" t="s">
        <v>7</v>
      </c>
      <c r="G11" s="191">
        <f t="shared" si="4"/>
        <v>2.9600000000000001E-2</v>
      </c>
      <c r="H11" s="191">
        <f t="shared" si="4"/>
        <v>0.1744</v>
      </c>
      <c r="I11" s="192">
        <v>44377</v>
      </c>
      <c r="J11" s="192">
        <v>44392</v>
      </c>
      <c r="K11" s="192">
        <v>43613</v>
      </c>
      <c r="L11" s="193" t="s">
        <v>234</v>
      </c>
      <c r="M11" s="81">
        <v>7302.48</v>
      </c>
      <c r="N11" s="240"/>
      <c r="O11" s="69">
        <f>M11+N11</f>
        <v>7302.48</v>
      </c>
      <c r="P11" s="69"/>
      <c r="Q11" s="69"/>
      <c r="R11" s="69"/>
      <c r="S11" s="70">
        <f t="shared" si="0"/>
        <v>0</v>
      </c>
    </row>
    <row r="12" spans="1:20" ht="34.5" customHeight="1" x14ac:dyDescent="0.25">
      <c r="B12" s="343" t="s">
        <v>263</v>
      </c>
      <c r="C12" s="243" t="s">
        <v>264</v>
      </c>
      <c r="D12" s="95" t="s">
        <v>254</v>
      </c>
      <c r="E12" s="2" t="s">
        <v>265</v>
      </c>
      <c r="F12" s="2" t="s">
        <v>7</v>
      </c>
      <c r="G12" s="191">
        <f t="shared" si="4"/>
        <v>2.9600000000000001E-2</v>
      </c>
      <c r="H12" s="191">
        <f t="shared" si="4"/>
        <v>0.1744</v>
      </c>
      <c r="I12" s="192">
        <v>44834</v>
      </c>
      <c r="J12" s="192">
        <v>44849</v>
      </c>
      <c r="K12" s="192">
        <v>43613</v>
      </c>
      <c r="L12" s="193" t="s">
        <v>298</v>
      </c>
      <c r="M12" s="67">
        <v>10000</v>
      </c>
      <c r="N12" s="240"/>
      <c r="O12" s="69">
        <f>M12+N12</f>
        <v>10000</v>
      </c>
      <c r="P12" s="69"/>
      <c r="Q12" s="69">
        <v>3726</v>
      </c>
      <c r="R12" s="69"/>
      <c r="S12" s="70">
        <f t="shared" si="0"/>
        <v>3726</v>
      </c>
    </row>
    <row r="13" spans="1:20" x14ac:dyDescent="0.25">
      <c r="B13" s="343"/>
      <c r="C13" s="94"/>
      <c r="D13" s="94"/>
      <c r="E13" s="77"/>
      <c r="G13" s="191"/>
      <c r="H13" s="191"/>
      <c r="I13" s="192"/>
      <c r="J13" s="192"/>
      <c r="K13" s="194"/>
      <c r="L13" s="193"/>
      <c r="M13" s="69"/>
      <c r="N13" s="69"/>
      <c r="O13" s="69"/>
      <c r="P13" s="29"/>
      <c r="Q13" s="69"/>
      <c r="R13" s="69"/>
      <c r="S13" s="70"/>
    </row>
    <row r="14" spans="1:20" ht="29.25" customHeight="1" x14ac:dyDescent="0.25">
      <c r="B14" s="2" t="s">
        <v>268</v>
      </c>
      <c r="C14" s="243" t="s">
        <v>269</v>
      </c>
      <c r="D14" s="95" t="s">
        <v>164</v>
      </c>
      <c r="E14" s="2" t="s">
        <v>273</v>
      </c>
      <c r="F14" s="2" t="s">
        <v>7</v>
      </c>
      <c r="G14" s="191">
        <f>+G12</f>
        <v>2.9600000000000001E-2</v>
      </c>
      <c r="H14" s="191">
        <f>+H12</f>
        <v>0.1744</v>
      </c>
      <c r="I14" s="192">
        <v>44393</v>
      </c>
      <c r="J14" s="192">
        <v>44408</v>
      </c>
      <c r="K14" s="192">
        <v>42644</v>
      </c>
      <c r="L14" s="193" t="s">
        <v>310</v>
      </c>
      <c r="M14" s="81">
        <v>581340</v>
      </c>
      <c r="N14" s="69"/>
      <c r="O14" s="69">
        <f>M14+N14</f>
        <v>581340</v>
      </c>
      <c r="P14" s="29"/>
      <c r="Q14" s="69">
        <f>353282.32+143188.93+21244+5625</f>
        <v>523340.25</v>
      </c>
      <c r="R14" s="69"/>
      <c r="S14" s="70">
        <f t="shared" si="0"/>
        <v>523340.25</v>
      </c>
    </row>
    <row r="15" spans="1:20" ht="37.5" customHeight="1" x14ac:dyDescent="0.25">
      <c r="B15" s="319" t="s">
        <v>257</v>
      </c>
      <c r="C15" s="243" t="s">
        <v>253</v>
      </c>
      <c r="D15" s="95" t="s">
        <v>254</v>
      </c>
      <c r="E15" s="2" t="s">
        <v>255</v>
      </c>
      <c r="F15" s="2" t="s">
        <v>7</v>
      </c>
      <c r="G15" s="191">
        <f t="shared" ref="G15:H15" si="5">+G14</f>
        <v>2.9600000000000001E-2</v>
      </c>
      <c r="H15" s="191">
        <f t="shared" si="5"/>
        <v>0.1744</v>
      </c>
      <c r="I15" s="192">
        <v>44287</v>
      </c>
      <c r="J15" s="192">
        <v>44302</v>
      </c>
      <c r="K15" s="192">
        <v>43613</v>
      </c>
      <c r="L15" s="193" t="s">
        <v>312</v>
      </c>
      <c r="M15" s="67">
        <v>14684.56</v>
      </c>
      <c r="N15" s="297"/>
      <c r="O15" s="68">
        <f t="shared" ref="O15" si="6">SUM(M15:N15)</f>
        <v>14684.56</v>
      </c>
      <c r="P15" s="68"/>
      <c r="Q15" s="68">
        <v>0</v>
      </c>
      <c r="R15" s="68"/>
      <c r="S15" s="70">
        <f t="shared" si="0"/>
        <v>0</v>
      </c>
    </row>
    <row r="16" spans="1:20" ht="29.25" customHeight="1" x14ac:dyDescent="0.25">
      <c r="B16" s="2" t="s">
        <v>318</v>
      </c>
      <c r="C16" s="243" t="s">
        <v>242</v>
      </c>
      <c r="D16" s="95" t="s">
        <v>243</v>
      </c>
      <c r="E16" s="2" t="s">
        <v>319</v>
      </c>
      <c r="F16" s="2" t="s">
        <v>7</v>
      </c>
      <c r="G16" s="191">
        <v>2.9600000000000001E-2</v>
      </c>
      <c r="H16" s="191">
        <v>0.1744</v>
      </c>
      <c r="I16" s="192">
        <v>44561</v>
      </c>
      <c r="J16" s="192">
        <v>44576</v>
      </c>
      <c r="K16" s="192">
        <v>43980</v>
      </c>
      <c r="L16" s="193" t="s">
        <v>320</v>
      </c>
      <c r="M16" s="81">
        <v>3000</v>
      </c>
      <c r="N16" s="69"/>
      <c r="O16" s="69">
        <f t="shared" ref="O16:O18" si="7">M16+N16</f>
        <v>3000</v>
      </c>
      <c r="P16" s="68"/>
      <c r="Q16" s="69"/>
      <c r="R16" s="69"/>
      <c r="S16" s="70">
        <f t="shared" si="0"/>
        <v>0</v>
      </c>
    </row>
    <row r="17" spans="2:19" ht="29.25" customHeight="1" x14ac:dyDescent="0.25">
      <c r="B17" s="2" t="s">
        <v>321</v>
      </c>
      <c r="C17" s="243" t="s">
        <v>264</v>
      </c>
      <c r="D17" s="95" t="s">
        <v>254</v>
      </c>
      <c r="E17" s="2" t="s">
        <v>322</v>
      </c>
      <c r="F17" s="2" t="s">
        <v>7</v>
      </c>
      <c r="G17" s="191">
        <v>2.9600000000000001E-2</v>
      </c>
      <c r="H17" s="191">
        <v>0.1744</v>
      </c>
      <c r="I17" s="192">
        <v>44742</v>
      </c>
      <c r="J17" s="192">
        <v>44757</v>
      </c>
      <c r="K17" s="192">
        <v>43979</v>
      </c>
      <c r="L17" s="193" t="s">
        <v>323</v>
      </c>
      <c r="M17" s="81">
        <v>1027</v>
      </c>
      <c r="N17" s="69"/>
      <c r="O17" s="69">
        <f t="shared" si="7"/>
        <v>1027</v>
      </c>
      <c r="P17" s="68"/>
      <c r="Q17" s="69"/>
      <c r="R17" s="69"/>
      <c r="S17" s="70">
        <f t="shared" si="0"/>
        <v>0</v>
      </c>
    </row>
    <row r="18" spans="2:19" ht="29.25" customHeight="1" x14ac:dyDescent="0.25">
      <c r="B18" s="2" t="s">
        <v>327</v>
      </c>
      <c r="C18" s="243" t="s">
        <v>242</v>
      </c>
      <c r="D18" s="95" t="s">
        <v>328</v>
      </c>
      <c r="E18" s="2" t="s">
        <v>329</v>
      </c>
      <c r="F18" s="2" t="s">
        <v>7</v>
      </c>
      <c r="G18" s="191">
        <v>2.9600000000000001E-2</v>
      </c>
      <c r="H18" s="191">
        <v>0.1744</v>
      </c>
      <c r="I18" s="192">
        <v>44440</v>
      </c>
      <c r="J18" s="192">
        <v>44440</v>
      </c>
      <c r="K18" s="192">
        <v>44201</v>
      </c>
      <c r="L18" s="193" t="s">
        <v>330</v>
      </c>
      <c r="M18" s="81">
        <v>317554.48</v>
      </c>
      <c r="N18" s="69"/>
      <c r="O18" s="69">
        <f t="shared" si="7"/>
        <v>317554.48</v>
      </c>
      <c r="P18" s="68"/>
      <c r="Q18" s="69"/>
      <c r="R18" s="69"/>
      <c r="S18" s="70">
        <f t="shared" si="0"/>
        <v>0</v>
      </c>
    </row>
    <row r="19" spans="2:19" x14ac:dyDescent="0.25">
      <c r="B19" s="293"/>
      <c r="C19" s="94"/>
      <c r="D19" s="94"/>
      <c r="E19" s="77"/>
      <c r="G19" s="191"/>
      <c r="H19" s="191"/>
      <c r="I19" s="192"/>
      <c r="J19" s="192"/>
      <c r="K19" s="194"/>
      <c r="L19" s="193"/>
      <c r="M19" s="69"/>
      <c r="N19" s="69"/>
      <c r="O19" s="69"/>
      <c r="P19" s="29"/>
      <c r="Q19" s="69"/>
      <c r="R19" s="69"/>
      <c r="S19" s="26"/>
    </row>
    <row r="20" spans="2:19" ht="24" customHeight="1" x14ac:dyDescent="0.25">
      <c r="B20" s="29"/>
      <c r="C20" s="94"/>
      <c r="D20" s="94"/>
      <c r="K20" s="95"/>
      <c r="L20" s="5" t="s">
        <v>38</v>
      </c>
      <c r="M20" s="284">
        <f>SUM(M7:M19)</f>
        <v>1374699.21</v>
      </c>
      <c r="N20" s="284">
        <f>SUM(N7:N19)</f>
        <v>283.5</v>
      </c>
      <c r="O20" s="284">
        <f>SUM(O7:O19)</f>
        <v>1374982.71</v>
      </c>
      <c r="P20" s="68"/>
      <c r="Q20" s="284">
        <f>SUM(Q7:Q19)</f>
        <v>808318.94</v>
      </c>
      <c r="R20" s="284">
        <f>SUM(R7:R19)</f>
        <v>0</v>
      </c>
      <c r="S20" s="23">
        <f>SUM(S7:S19)</f>
        <v>808318.94</v>
      </c>
    </row>
    <row r="21" spans="2:19" x14ac:dyDescent="0.25">
      <c r="B21" s="29"/>
      <c r="C21" s="94"/>
      <c r="D21" s="94"/>
      <c r="K21" s="95"/>
      <c r="L21" s="5"/>
      <c r="M21" s="68"/>
      <c r="N21" s="68"/>
      <c r="O21" s="68"/>
      <c r="P21" s="68"/>
      <c r="Q21" s="68"/>
      <c r="R21" s="68"/>
      <c r="S21" s="70"/>
    </row>
    <row r="22" spans="2:19" x14ac:dyDescent="0.25">
      <c r="B22" s="8" t="s">
        <v>125</v>
      </c>
      <c r="C22" s="94"/>
      <c r="D22" s="94"/>
      <c r="K22" s="95"/>
      <c r="L22" s="5"/>
      <c r="S22" s="70"/>
    </row>
    <row r="23" spans="2:19" ht="33" customHeight="1" x14ac:dyDescent="0.25">
      <c r="B23" s="341" t="s">
        <v>126</v>
      </c>
      <c r="C23" s="341"/>
      <c r="D23" s="341"/>
      <c r="E23" s="341"/>
      <c r="F23" s="341"/>
      <c r="G23" s="122"/>
      <c r="H23" s="122"/>
      <c r="I23" s="116"/>
      <c r="K23" s="95"/>
      <c r="L23" s="5"/>
      <c r="M23" s="68"/>
      <c r="N23" s="68"/>
      <c r="O23" s="68"/>
      <c r="P23" s="29"/>
      <c r="Q23" s="68"/>
      <c r="R23" s="68"/>
      <c r="S23" s="70"/>
    </row>
    <row r="24" spans="2:19" ht="15" customHeight="1" x14ac:dyDescent="0.25">
      <c r="B24" s="103"/>
      <c r="C24" s="94"/>
      <c r="D24" s="94"/>
      <c r="K24" s="95"/>
      <c r="L24" s="5"/>
      <c r="M24" s="68"/>
      <c r="N24" s="68"/>
      <c r="O24" s="68"/>
      <c r="Q24" s="68"/>
      <c r="R24" s="68"/>
      <c r="S24" s="70"/>
    </row>
    <row r="25" spans="2:19" ht="42.75" customHeight="1" x14ac:dyDescent="0.25">
      <c r="B25" s="338" t="s">
        <v>129</v>
      </c>
      <c r="C25" s="338"/>
      <c r="D25" s="338"/>
      <c r="E25" s="338"/>
      <c r="F25" s="338"/>
      <c r="G25" s="120"/>
      <c r="H25" s="120"/>
      <c r="I25" s="114"/>
      <c r="K25" s="95"/>
      <c r="L25" s="5"/>
      <c r="M25" s="68"/>
      <c r="N25" s="68"/>
      <c r="O25" s="68"/>
      <c r="Q25" s="68"/>
      <c r="R25" s="68"/>
      <c r="S25" s="70"/>
    </row>
    <row r="26" spans="2:19" x14ac:dyDescent="0.25">
      <c r="C26" s="94"/>
      <c r="D26" s="94"/>
      <c r="K26" s="95"/>
      <c r="L26" s="5"/>
      <c r="M26" s="68"/>
      <c r="N26" s="68"/>
      <c r="O26" s="68"/>
      <c r="Q26" s="68"/>
      <c r="R26" s="68"/>
      <c r="S26" s="70"/>
    </row>
    <row r="27" spans="2:19" ht="29.25" customHeight="1" x14ac:dyDescent="0.25">
      <c r="B27" s="343" t="s">
        <v>160</v>
      </c>
      <c r="C27" s="343"/>
      <c r="D27" s="343"/>
      <c r="E27" s="343"/>
      <c r="F27" s="343"/>
      <c r="K27" s="95"/>
      <c r="L27" s="5"/>
      <c r="M27" s="68"/>
      <c r="N27" s="68"/>
      <c r="O27" s="68"/>
      <c r="Q27" s="68"/>
      <c r="R27" s="68"/>
      <c r="S27" s="70"/>
    </row>
    <row r="28" spans="2:19" x14ac:dyDescent="0.25">
      <c r="B28" s="197" t="s">
        <v>159</v>
      </c>
      <c r="C28" s="94"/>
      <c r="D28" s="94"/>
      <c r="K28" s="95"/>
      <c r="L28" s="5"/>
      <c r="M28" s="68"/>
      <c r="N28" s="68"/>
      <c r="O28" s="68"/>
      <c r="Q28" s="68"/>
      <c r="R28" s="68"/>
      <c r="S28" s="70"/>
    </row>
    <row r="29" spans="2:19" x14ac:dyDescent="0.25">
      <c r="C29" s="94"/>
      <c r="D29" s="94"/>
      <c r="K29" s="95"/>
      <c r="L29" s="5"/>
      <c r="M29" s="68"/>
      <c r="N29" s="68"/>
      <c r="O29" s="68"/>
      <c r="Q29" s="68"/>
      <c r="R29" s="68"/>
      <c r="S29" s="70"/>
    </row>
    <row r="30" spans="2:19" x14ac:dyDescent="0.25">
      <c r="B30" s="7" t="s">
        <v>109</v>
      </c>
      <c r="C30" s="104" t="s">
        <v>112</v>
      </c>
      <c r="D30" s="104" t="s">
        <v>113</v>
      </c>
      <c r="K30" s="95"/>
      <c r="L30" s="5"/>
      <c r="M30" s="68"/>
      <c r="N30" s="68"/>
      <c r="O30" s="68"/>
      <c r="Q30" s="68"/>
      <c r="R30" s="68"/>
      <c r="S30" s="70"/>
    </row>
    <row r="31" spans="2:19" x14ac:dyDescent="0.25">
      <c r="B31" s="2" t="s">
        <v>110</v>
      </c>
      <c r="C31" s="94" t="s">
        <v>116</v>
      </c>
      <c r="D31" s="94" t="s">
        <v>118</v>
      </c>
      <c r="K31" s="95"/>
      <c r="L31" s="5"/>
      <c r="M31" s="68"/>
      <c r="N31" s="68"/>
      <c r="O31" s="68"/>
      <c r="Q31" s="68"/>
      <c r="R31" s="68"/>
      <c r="S31" s="70"/>
    </row>
    <row r="32" spans="2:19" x14ac:dyDescent="0.25">
      <c r="B32" s="2" t="s">
        <v>111</v>
      </c>
      <c r="C32" s="94" t="s">
        <v>114</v>
      </c>
      <c r="D32" s="94" t="s">
        <v>119</v>
      </c>
      <c r="K32" s="95"/>
      <c r="L32" s="5"/>
      <c r="M32" s="68"/>
      <c r="N32" s="68"/>
      <c r="O32" s="68"/>
      <c r="Q32" s="68"/>
      <c r="R32" s="68"/>
      <c r="S32" s="70"/>
    </row>
    <row r="33" spans="2:20" hidden="1" x14ac:dyDescent="0.25">
      <c r="B33" s="269" t="s">
        <v>235</v>
      </c>
      <c r="C33" s="94" t="s">
        <v>117</v>
      </c>
      <c r="D33" s="94" t="s">
        <v>120</v>
      </c>
      <c r="L33" s="5"/>
      <c r="M33" s="68"/>
      <c r="N33" s="68"/>
      <c r="O33" s="68"/>
      <c r="Q33" s="68"/>
      <c r="R33" s="68"/>
      <c r="S33" s="70"/>
    </row>
    <row r="34" spans="2:20" x14ac:dyDescent="0.25">
      <c r="B34" s="2" t="s">
        <v>252</v>
      </c>
      <c r="C34" s="94" t="s">
        <v>135</v>
      </c>
      <c r="D34" s="94" t="s">
        <v>147</v>
      </c>
      <c r="L34" s="5"/>
      <c r="M34" s="68"/>
      <c r="N34" s="68"/>
      <c r="O34" s="68"/>
      <c r="Q34" s="68"/>
      <c r="R34" s="68"/>
      <c r="S34" s="70"/>
    </row>
    <row r="35" spans="2:20" x14ac:dyDescent="0.25">
      <c r="B35" s="2" t="s">
        <v>260</v>
      </c>
      <c r="C35" s="94" t="s">
        <v>135</v>
      </c>
      <c r="D35" s="94" t="s">
        <v>147</v>
      </c>
      <c r="L35" s="5"/>
      <c r="M35" s="68"/>
      <c r="N35" s="68"/>
      <c r="O35" s="68"/>
      <c r="Q35" s="68"/>
      <c r="R35" s="68"/>
      <c r="S35" s="70"/>
    </row>
    <row r="36" spans="2:20" x14ac:dyDescent="0.25">
      <c r="B36" s="2" t="s">
        <v>261</v>
      </c>
      <c r="C36" s="94" t="s">
        <v>179</v>
      </c>
      <c r="D36" s="94" t="s">
        <v>262</v>
      </c>
      <c r="L36" s="5"/>
      <c r="M36" s="68"/>
      <c r="N36" s="68"/>
      <c r="O36" s="68"/>
      <c r="Q36" s="68"/>
      <c r="R36" s="68"/>
      <c r="S36" s="70"/>
    </row>
    <row r="37" spans="2:20" x14ac:dyDescent="0.25">
      <c r="B37" s="2" t="s">
        <v>267</v>
      </c>
      <c r="C37" s="94" t="s">
        <v>135</v>
      </c>
      <c r="D37" s="94" t="s">
        <v>147</v>
      </c>
      <c r="L37" s="5"/>
      <c r="M37" s="68"/>
      <c r="N37" s="68"/>
      <c r="O37" s="68"/>
      <c r="Q37" s="68"/>
      <c r="R37" s="68"/>
      <c r="S37" s="70"/>
    </row>
    <row r="38" spans="2:20" x14ac:dyDescent="0.25">
      <c r="B38" s="2" t="s">
        <v>256</v>
      </c>
      <c r="C38" s="94" t="s">
        <v>135</v>
      </c>
      <c r="D38" s="94" t="s">
        <v>147</v>
      </c>
      <c r="L38" s="5"/>
      <c r="M38" s="68"/>
      <c r="N38" s="68"/>
      <c r="O38" s="68"/>
      <c r="Q38" s="68"/>
      <c r="R38" s="68"/>
      <c r="S38" s="70"/>
    </row>
    <row r="39" spans="2:20" x14ac:dyDescent="0.25">
      <c r="B39" s="2" t="s">
        <v>318</v>
      </c>
      <c r="C39" s="94" t="s">
        <v>135</v>
      </c>
      <c r="D39" s="94" t="s">
        <v>147</v>
      </c>
      <c r="L39" s="5"/>
      <c r="M39" s="68"/>
      <c r="N39" s="68"/>
      <c r="O39" s="68"/>
      <c r="Q39" s="68"/>
      <c r="R39" s="68"/>
      <c r="S39" s="70"/>
    </row>
    <row r="40" spans="2:20" x14ac:dyDescent="0.25">
      <c r="B40" s="2" t="s">
        <v>321</v>
      </c>
      <c r="C40" s="94" t="s">
        <v>135</v>
      </c>
      <c r="D40" s="94" t="s">
        <v>147</v>
      </c>
      <c r="L40" s="5"/>
      <c r="M40" s="68"/>
      <c r="N40" s="68"/>
      <c r="O40" s="68"/>
      <c r="Q40" s="68"/>
      <c r="R40" s="68"/>
      <c r="S40" s="70"/>
    </row>
    <row r="41" spans="2:20" x14ac:dyDescent="0.25">
      <c r="B41" s="2" t="s">
        <v>326</v>
      </c>
      <c r="C41" s="94" t="s">
        <v>135</v>
      </c>
      <c r="D41" s="94" t="s">
        <v>147</v>
      </c>
      <c r="L41" s="5"/>
      <c r="M41" s="68"/>
      <c r="N41" s="68"/>
      <c r="O41" s="68"/>
      <c r="Q41" s="68"/>
      <c r="R41" s="68"/>
      <c r="S41" s="70"/>
    </row>
    <row r="42" spans="2:20" x14ac:dyDescent="0.25">
      <c r="C42" s="94"/>
      <c r="D42" s="94"/>
      <c r="L42" s="5"/>
      <c r="M42" s="68"/>
      <c r="N42" s="68"/>
      <c r="O42" s="68"/>
      <c r="Q42" s="68"/>
      <c r="R42" s="68"/>
      <c r="S42" s="70"/>
    </row>
    <row r="43" spans="2:20" ht="15" customHeight="1" x14ac:dyDescent="0.25">
      <c r="B43" s="333" t="s">
        <v>235</v>
      </c>
      <c r="C43" s="333"/>
      <c r="D43" s="333"/>
      <c r="E43" s="333"/>
      <c r="F43" s="333"/>
      <c r="G43" s="333"/>
      <c r="H43" s="333"/>
      <c r="L43" s="5"/>
      <c r="M43" s="68"/>
      <c r="N43" s="68"/>
      <c r="O43" s="68"/>
      <c r="Q43" s="68"/>
      <c r="R43" s="68"/>
      <c r="S43" s="70"/>
    </row>
    <row r="44" spans="2:20" ht="15" customHeight="1" x14ac:dyDescent="0.25">
      <c r="B44" s="249" t="s">
        <v>236</v>
      </c>
      <c r="C44" s="94"/>
      <c r="D44" s="94"/>
      <c r="L44" s="5"/>
      <c r="M44" s="68"/>
      <c r="N44" s="68"/>
      <c r="O44" s="68"/>
      <c r="Q44" s="68"/>
      <c r="R44" s="68"/>
      <c r="S44" s="70"/>
    </row>
    <row r="45" spans="2:20" x14ac:dyDescent="0.25">
      <c r="B45" s="10"/>
      <c r="C45" s="96"/>
      <c r="D45" s="96"/>
      <c r="E45" s="10"/>
      <c r="F45" s="10"/>
      <c r="G45" s="10"/>
      <c r="H45" s="10"/>
      <c r="I45" s="10"/>
      <c r="J45" s="10"/>
      <c r="K45" s="10"/>
      <c r="L45" s="29"/>
      <c r="M45" s="29"/>
      <c r="N45" s="48"/>
      <c r="O45" s="48"/>
      <c r="P45" s="48"/>
      <c r="Q45" s="59"/>
      <c r="R45" s="49"/>
      <c r="S45" s="170"/>
      <c r="T45" s="51"/>
    </row>
    <row r="46" spans="2:20" ht="15" customHeight="1" x14ac:dyDescent="0.25">
      <c r="L46" s="112"/>
      <c r="M46" s="112"/>
      <c r="N46" s="112"/>
      <c r="O46" s="112"/>
      <c r="P46" s="112"/>
      <c r="Q46" s="171" t="s">
        <v>90</v>
      </c>
      <c r="R46" s="168"/>
      <c r="S46" s="169"/>
      <c r="T46" s="51"/>
    </row>
    <row r="47" spans="2:20" ht="15" customHeight="1" x14ac:dyDescent="0.25">
      <c r="B47" s="17" t="s">
        <v>39</v>
      </c>
      <c r="C47" s="98" t="s">
        <v>2</v>
      </c>
      <c r="D47" s="98" t="s">
        <v>34</v>
      </c>
      <c r="E47" s="131" t="s">
        <v>35</v>
      </c>
      <c r="F47" s="98" t="s">
        <v>36</v>
      </c>
      <c r="G47" s="342" t="s">
        <v>37</v>
      </c>
      <c r="H47" s="342"/>
      <c r="I47" s="342"/>
      <c r="J47" s="98"/>
      <c r="K47" s="98"/>
      <c r="L47" s="10"/>
      <c r="M47" s="10"/>
      <c r="N47" s="10"/>
      <c r="O47" s="10"/>
      <c r="P47" s="10"/>
      <c r="Q47" s="54" t="s">
        <v>88</v>
      </c>
      <c r="R47" s="10"/>
      <c r="S47" s="28"/>
    </row>
    <row r="48" spans="2:20" x14ac:dyDescent="0.25">
      <c r="C48" s="95"/>
      <c r="D48" s="95"/>
      <c r="E48" s="132"/>
      <c r="F48" s="133"/>
      <c r="G48" s="339"/>
      <c r="H48" s="340"/>
      <c r="I48" s="340"/>
      <c r="J48" s="340"/>
      <c r="K48" s="64"/>
      <c r="L48" s="64"/>
    </row>
    <row r="49" spans="3:19" x14ac:dyDescent="0.25">
      <c r="C49" s="95"/>
      <c r="D49" s="95"/>
      <c r="E49" s="132"/>
      <c r="F49" s="133"/>
      <c r="G49" s="62"/>
      <c r="H49" s="62"/>
      <c r="I49" s="62"/>
      <c r="J49" s="62"/>
      <c r="K49" s="62"/>
      <c r="L49" s="102"/>
    </row>
    <row r="50" spans="3:19" x14ac:dyDescent="0.25">
      <c r="C50" s="95"/>
      <c r="D50" s="95"/>
      <c r="E50" s="132"/>
      <c r="F50" s="134"/>
      <c r="G50" s="63"/>
      <c r="H50" s="63"/>
      <c r="I50" s="63"/>
      <c r="J50" s="63"/>
      <c r="K50" s="63"/>
      <c r="L50" s="63"/>
      <c r="Q50" s="325" t="s">
        <v>343</v>
      </c>
      <c r="R50" s="325"/>
      <c r="S50" s="326">
        <f>S20</f>
        <v>808318.94</v>
      </c>
    </row>
    <row r="51" spans="3:19" x14ac:dyDescent="0.25">
      <c r="C51" s="95"/>
      <c r="D51" s="95"/>
      <c r="E51" s="132"/>
      <c r="F51" s="155"/>
    </row>
    <row r="52" spans="3:19" x14ac:dyDescent="0.25">
      <c r="C52" s="95"/>
      <c r="D52" s="95"/>
      <c r="E52" s="132"/>
      <c r="F52" s="155"/>
    </row>
    <row r="53" spans="3:19" x14ac:dyDescent="0.25">
      <c r="C53" s="95"/>
      <c r="D53" s="95"/>
      <c r="E53" s="132"/>
      <c r="F53" s="155"/>
    </row>
    <row r="54" spans="3:19" x14ac:dyDescent="0.25">
      <c r="C54" s="95"/>
      <c r="D54" s="95"/>
      <c r="E54" s="132"/>
      <c r="F54" s="95"/>
    </row>
    <row r="55" spans="3:19" x14ac:dyDescent="0.25">
      <c r="C55" s="95"/>
      <c r="D55" s="95"/>
      <c r="E55" s="132"/>
      <c r="F55" s="95"/>
    </row>
    <row r="56" spans="3:19" x14ac:dyDescent="0.25">
      <c r="C56" s="95"/>
      <c r="D56" s="8" t="s">
        <v>23</v>
      </c>
      <c r="E56" s="135">
        <f>SUM(E48:E54)</f>
        <v>0</v>
      </c>
      <c r="F56" s="95"/>
    </row>
    <row r="57" spans="3:19" x14ac:dyDescent="0.25">
      <c r="E57" s="132"/>
      <c r="F57" s="95"/>
    </row>
    <row r="58" spans="3:19" x14ac:dyDescent="0.25">
      <c r="E58" s="132"/>
      <c r="F58" s="95"/>
    </row>
    <row r="59" spans="3:19" x14ac:dyDescent="0.25">
      <c r="E59" s="132"/>
    </row>
    <row r="60" spans="3:19" x14ac:dyDescent="0.25">
      <c r="E60" s="132"/>
    </row>
    <row r="61" spans="3:19" x14ac:dyDescent="0.25">
      <c r="E61" s="132"/>
    </row>
    <row r="62" spans="3:19" x14ac:dyDescent="0.25">
      <c r="E62" s="132"/>
    </row>
    <row r="63" spans="3:19" x14ac:dyDescent="0.25">
      <c r="E63" s="132"/>
    </row>
    <row r="64" spans="3:19" x14ac:dyDescent="0.25">
      <c r="E64" s="132"/>
    </row>
    <row r="65" spans="5:5" x14ac:dyDescent="0.25">
      <c r="E65" s="132"/>
    </row>
  </sheetData>
  <mergeCells count="9">
    <mergeCell ref="G48:J48"/>
    <mergeCell ref="Q1:S1"/>
    <mergeCell ref="Q2:S2"/>
    <mergeCell ref="B25:F25"/>
    <mergeCell ref="B23:F23"/>
    <mergeCell ref="G47:I47"/>
    <mergeCell ref="B27:F27"/>
    <mergeCell ref="B43:H43"/>
    <mergeCell ref="B12:B13"/>
  </mergeCells>
  <hyperlinks>
    <hyperlink ref="B28" r:id="rId1"/>
  </hyperlinks>
  <printOptions horizontalCentered="1" gridLines="1"/>
  <pageMargins left="0" right="0" top="0.75" bottom="0.75" header="0.3" footer="0.3"/>
  <pageSetup scale="45" orientation="landscape" horizontalDpi="1200" verticalDpi="1200"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0"/>
  <sheetViews>
    <sheetView topLeftCell="C16" zoomScale="90" zoomScaleNormal="90" workbookViewId="0">
      <selection activeCell="U47" sqref="U47"/>
    </sheetView>
  </sheetViews>
  <sheetFormatPr defaultColWidth="9.140625" defaultRowHeight="15" x14ac:dyDescent="0.25"/>
  <cols>
    <col min="1" max="1" width="9.140625" style="2" hidden="1" customWidth="1"/>
    <col min="2" max="2" width="59.140625" style="2" customWidth="1"/>
    <col min="3" max="3" width="24.42578125" style="2" bestFit="1" customWidth="1"/>
    <col min="4" max="4" width="13.7109375" style="2" customWidth="1"/>
    <col min="5" max="5" width="18.28515625" style="2" customWidth="1"/>
    <col min="6" max="6" width="21.28515625" style="2" customWidth="1"/>
    <col min="7" max="7" width="10.28515625" style="2" customWidth="1"/>
    <col min="8" max="8" width="12.85546875" style="2" customWidth="1"/>
    <col min="9" max="9" width="13.42578125" style="2" customWidth="1"/>
    <col min="10" max="10" width="15.7109375" style="2" customWidth="1"/>
    <col min="11" max="11" width="8.85546875" style="2" customWidth="1"/>
    <col min="12" max="12" width="18.1406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6.7109375" style="2" customWidth="1"/>
    <col min="20" max="16384" width="9.140625" style="2"/>
  </cols>
  <sheetData>
    <row r="1" spans="1:20" ht="14.45" customHeight="1" x14ac:dyDescent="0.25">
      <c r="A1" s="2" t="s">
        <v>342</v>
      </c>
      <c r="B1" s="8" t="s">
        <v>17</v>
      </c>
      <c r="Q1" s="335" t="s">
        <v>230</v>
      </c>
      <c r="R1" s="335"/>
      <c r="S1" s="335"/>
    </row>
    <row r="2" spans="1:20" x14ac:dyDescent="0.25">
      <c r="B2" s="90" t="s">
        <v>148</v>
      </c>
      <c r="C2" s="187">
        <v>44377</v>
      </c>
      <c r="M2" s="73"/>
      <c r="N2" s="73"/>
      <c r="P2" s="29"/>
      <c r="Q2" s="334" t="s">
        <v>338</v>
      </c>
      <c r="R2" s="334"/>
      <c r="S2" s="334"/>
    </row>
    <row r="3" spans="1:20" ht="15.75" thickBot="1" x14ac:dyDescent="0.3">
      <c r="A3" s="2" t="s">
        <v>16</v>
      </c>
      <c r="B3" s="44" t="s">
        <v>50</v>
      </c>
      <c r="C3" s="8"/>
      <c r="D3" s="8"/>
      <c r="E3" s="8"/>
      <c r="P3" s="29"/>
      <c r="Q3" s="45"/>
      <c r="R3" s="30"/>
    </row>
    <row r="4" spans="1:20" x14ac:dyDescent="0.25">
      <c r="B4" s="8" t="s">
        <v>174</v>
      </c>
      <c r="M4" s="87" t="s">
        <v>28</v>
      </c>
      <c r="N4" s="87" t="s">
        <v>28</v>
      </c>
      <c r="O4" s="87" t="s">
        <v>28</v>
      </c>
      <c r="P4" s="9"/>
      <c r="Q4" s="91" t="s">
        <v>29</v>
      </c>
      <c r="R4" s="91" t="s">
        <v>31</v>
      </c>
      <c r="S4" s="91" t="s">
        <v>23</v>
      </c>
      <c r="T4" s="7"/>
    </row>
    <row r="5" spans="1:20" ht="15.75" thickBot="1" x14ac:dyDescent="0.3">
      <c r="G5" s="188" t="s">
        <v>231</v>
      </c>
      <c r="H5" s="188" t="s">
        <v>231</v>
      </c>
      <c r="M5" s="88" t="s">
        <v>27</v>
      </c>
      <c r="N5" s="88" t="s">
        <v>26</v>
      </c>
      <c r="O5" s="88" t="s">
        <v>25</v>
      </c>
      <c r="P5" s="9"/>
      <c r="Q5" s="92" t="s">
        <v>30</v>
      </c>
      <c r="R5" s="92" t="s">
        <v>30</v>
      </c>
      <c r="S5" s="92" t="s">
        <v>30</v>
      </c>
      <c r="T5" s="7"/>
    </row>
    <row r="6" spans="1:20" ht="85.5" customHeight="1" thickBot="1" x14ac:dyDescent="0.3">
      <c r="B6" s="86" t="s">
        <v>1</v>
      </c>
      <c r="C6" s="86" t="s">
        <v>127</v>
      </c>
      <c r="D6" s="86" t="s">
        <v>107</v>
      </c>
      <c r="E6" s="86" t="s">
        <v>3</v>
      </c>
      <c r="F6" s="86" t="s">
        <v>4</v>
      </c>
      <c r="G6" s="110" t="s">
        <v>136</v>
      </c>
      <c r="H6" s="110" t="s">
        <v>137</v>
      </c>
      <c r="I6" s="110" t="s">
        <v>133</v>
      </c>
      <c r="J6" s="110" t="s">
        <v>134</v>
      </c>
      <c r="K6" s="110" t="s">
        <v>121</v>
      </c>
      <c r="L6" s="85" t="s">
        <v>5</v>
      </c>
      <c r="M6" s="89" t="s">
        <v>6</v>
      </c>
      <c r="N6" s="89" t="s">
        <v>6</v>
      </c>
      <c r="O6" s="89" t="s">
        <v>6</v>
      </c>
      <c r="P6" s="9"/>
      <c r="Q6" s="93"/>
      <c r="R6" s="99" t="s">
        <v>32</v>
      </c>
      <c r="S6" s="100" t="s">
        <v>33</v>
      </c>
    </row>
    <row r="7" spans="1:20" ht="33" customHeight="1" x14ac:dyDescent="0.25">
      <c r="B7" s="2" t="s">
        <v>128</v>
      </c>
      <c r="C7" s="231" t="s">
        <v>122</v>
      </c>
      <c r="D7" s="95" t="s">
        <v>248</v>
      </c>
      <c r="E7" s="2" t="s">
        <v>233</v>
      </c>
      <c r="F7" s="2" t="s">
        <v>7</v>
      </c>
      <c r="G7" s="191">
        <v>2.9600000000000001E-2</v>
      </c>
      <c r="H7" s="191">
        <v>0.1744</v>
      </c>
      <c r="I7" s="192">
        <v>44377</v>
      </c>
      <c r="J7" s="192">
        <v>44378</v>
      </c>
      <c r="K7" s="192">
        <v>44013</v>
      </c>
      <c r="L7" s="193" t="s">
        <v>234</v>
      </c>
      <c r="M7" s="61">
        <v>16050</v>
      </c>
      <c r="N7" s="72"/>
      <c r="O7" s="61">
        <f t="shared" ref="O7:O15" si="0">M7+N7</f>
        <v>16050</v>
      </c>
      <c r="P7" s="84"/>
      <c r="Q7" s="72">
        <f>16050+5874.13</f>
        <v>21924.13</v>
      </c>
      <c r="R7" s="109"/>
      <c r="S7" s="83">
        <f t="shared" ref="S7:S15" si="1">Q7+R7</f>
        <v>21924.13</v>
      </c>
    </row>
    <row r="8" spans="1:20" ht="31.5" customHeight="1" x14ac:dyDescent="0.25">
      <c r="B8" s="2" t="s">
        <v>289</v>
      </c>
      <c r="C8" s="243" t="s">
        <v>292</v>
      </c>
      <c r="D8" s="95" t="s">
        <v>290</v>
      </c>
      <c r="E8" s="2" t="s">
        <v>291</v>
      </c>
      <c r="F8" s="2" t="s">
        <v>7</v>
      </c>
      <c r="G8" s="191">
        <f t="shared" ref="G8:H8" si="2">+G7</f>
        <v>2.9600000000000001E-2</v>
      </c>
      <c r="H8" s="191">
        <f t="shared" si="2"/>
        <v>0.1744</v>
      </c>
      <c r="I8" s="192">
        <v>44439</v>
      </c>
      <c r="J8" s="192">
        <v>44454</v>
      </c>
      <c r="K8" s="192">
        <v>44013</v>
      </c>
      <c r="L8" s="193" t="s">
        <v>331</v>
      </c>
      <c r="M8" s="283">
        <v>4872.68</v>
      </c>
      <c r="N8" s="80"/>
      <c r="O8" s="61">
        <f t="shared" si="0"/>
        <v>4872.68</v>
      </c>
      <c r="P8" s="69"/>
      <c r="Q8" s="69">
        <v>4872.68</v>
      </c>
      <c r="R8" s="69"/>
      <c r="S8" s="83">
        <f t="shared" si="1"/>
        <v>4872.68</v>
      </c>
    </row>
    <row r="9" spans="1:20" ht="30" customHeight="1" x14ac:dyDescent="0.25">
      <c r="B9" s="2" t="s">
        <v>241</v>
      </c>
      <c r="C9" s="243" t="s">
        <v>242</v>
      </c>
      <c r="D9" s="95" t="s">
        <v>243</v>
      </c>
      <c r="E9" s="2" t="s">
        <v>244</v>
      </c>
      <c r="F9" s="2" t="s">
        <v>7</v>
      </c>
      <c r="G9" s="191">
        <v>2.9600000000000001E-2</v>
      </c>
      <c r="H9" s="191">
        <v>0.1744</v>
      </c>
      <c r="I9" s="192">
        <v>44834</v>
      </c>
      <c r="J9" s="192">
        <v>44849</v>
      </c>
      <c r="K9" s="192">
        <v>43614</v>
      </c>
      <c r="L9" s="193" t="s">
        <v>311</v>
      </c>
      <c r="M9" s="283">
        <v>46311.73</v>
      </c>
      <c r="N9" s="80"/>
      <c r="O9" s="61">
        <f t="shared" si="0"/>
        <v>46311.73</v>
      </c>
      <c r="P9" s="69"/>
      <c r="Q9" s="69">
        <v>46311.73</v>
      </c>
      <c r="R9" s="69"/>
      <c r="S9" s="83">
        <f t="shared" si="1"/>
        <v>46311.73</v>
      </c>
    </row>
    <row r="10" spans="1:20" ht="35.25" customHeight="1" x14ac:dyDescent="0.25">
      <c r="B10" s="324" t="s">
        <v>257</v>
      </c>
      <c r="C10" s="243" t="s">
        <v>253</v>
      </c>
      <c r="D10" s="95" t="s">
        <v>254</v>
      </c>
      <c r="E10" s="2" t="s">
        <v>255</v>
      </c>
      <c r="F10" s="2" t="s">
        <v>7</v>
      </c>
      <c r="G10" s="191">
        <f t="shared" ref="G10:H10" si="3">+G9</f>
        <v>2.9600000000000001E-2</v>
      </c>
      <c r="H10" s="191">
        <f t="shared" si="3"/>
        <v>0.1744</v>
      </c>
      <c r="I10" s="192">
        <v>44287</v>
      </c>
      <c r="J10" s="192">
        <v>44302</v>
      </c>
      <c r="K10" s="192">
        <v>43613</v>
      </c>
      <c r="L10" s="193" t="s">
        <v>312</v>
      </c>
      <c r="M10" s="283">
        <v>4619.47</v>
      </c>
      <c r="N10" s="320">
        <v>-3994.75</v>
      </c>
      <c r="O10" s="61">
        <f t="shared" si="0"/>
        <v>624.72000000000025</v>
      </c>
      <c r="P10" s="69"/>
      <c r="Q10" s="69"/>
      <c r="R10" s="69"/>
      <c r="S10" s="83">
        <f t="shared" si="1"/>
        <v>0</v>
      </c>
    </row>
    <row r="11" spans="1:20" ht="31.5" customHeight="1" x14ac:dyDescent="0.25">
      <c r="B11" s="2" t="s">
        <v>283</v>
      </c>
      <c r="C11" s="243" t="s">
        <v>264</v>
      </c>
      <c r="D11" s="95" t="s">
        <v>254</v>
      </c>
      <c r="E11" s="2" t="s">
        <v>284</v>
      </c>
      <c r="F11" s="2" t="s">
        <v>7</v>
      </c>
      <c r="G11" s="191">
        <f t="shared" ref="G11:H11" si="4">+G10</f>
        <v>2.9600000000000001E-2</v>
      </c>
      <c r="H11" s="191">
        <f t="shared" si="4"/>
        <v>0.1744</v>
      </c>
      <c r="I11" s="192">
        <v>44377</v>
      </c>
      <c r="J11" s="192">
        <v>44392</v>
      </c>
      <c r="K11" s="192">
        <v>43613</v>
      </c>
      <c r="L11" s="193" t="s">
        <v>234</v>
      </c>
      <c r="M11" s="81">
        <v>7302.48</v>
      </c>
      <c r="N11" s="69"/>
      <c r="O11" s="69">
        <f t="shared" si="0"/>
        <v>7302.48</v>
      </c>
      <c r="P11" s="69"/>
      <c r="Q11" s="69"/>
      <c r="R11" s="69"/>
      <c r="S11" s="70">
        <f t="shared" si="1"/>
        <v>0</v>
      </c>
    </row>
    <row r="12" spans="1:20" ht="27" customHeight="1" x14ac:dyDescent="0.25">
      <c r="B12" s="2" t="s">
        <v>314</v>
      </c>
      <c r="C12" s="243" t="s">
        <v>242</v>
      </c>
      <c r="D12" s="95" t="s">
        <v>243</v>
      </c>
      <c r="E12" s="2" t="s">
        <v>315</v>
      </c>
      <c r="F12" s="2" t="s">
        <v>7</v>
      </c>
      <c r="G12" s="313">
        <f>+G10</f>
        <v>2.9600000000000001E-2</v>
      </c>
      <c r="H12" s="313">
        <f>+H10</f>
        <v>0.1744</v>
      </c>
      <c r="I12" s="312">
        <v>44773</v>
      </c>
      <c r="J12" s="312">
        <v>44788</v>
      </c>
      <c r="K12" s="192">
        <v>43980</v>
      </c>
      <c r="L12" s="193" t="s">
        <v>316</v>
      </c>
      <c r="M12" s="81">
        <v>3330.7</v>
      </c>
      <c r="N12" s="72"/>
      <c r="O12" s="69">
        <f t="shared" si="0"/>
        <v>3330.7</v>
      </c>
      <c r="P12" s="69"/>
      <c r="Q12" s="69"/>
      <c r="R12" s="69"/>
      <c r="S12" s="70">
        <f t="shared" si="1"/>
        <v>0</v>
      </c>
    </row>
    <row r="13" spans="1:20" ht="27" customHeight="1" x14ac:dyDescent="0.25">
      <c r="B13" s="2" t="s">
        <v>318</v>
      </c>
      <c r="C13" s="243" t="s">
        <v>242</v>
      </c>
      <c r="D13" s="95" t="s">
        <v>243</v>
      </c>
      <c r="E13" s="2" t="s">
        <v>319</v>
      </c>
      <c r="F13" s="2" t="s">
        <v>7</v>
      </c>
      <c r="G13" s="191">
        <v>2.9600000000000001E-2</v>
      </c>
      <c r="H13" s="191">
        <v>0.1744</v>
      </c>
      <c r="I13" s="192">
        <v>44561</v>
      </c>
      <c r="J13" s="192">
        <v>44576</v>
      </c>
      <c r="K13" s="192">
        <v>43980</v>
      </c>
      <c r="L13" s="193" t="s">
        <v>320</v>
      </c>
      <c r="M13" s="81">
        <v>3000</v>
      </c>
      <c r="N13" s="69"/>
      <c r="O13" s="69">
        <f t="shared" si="0"/>
        <v>3000</v>
      </c>
      <c r="P13" s="68"/>
      <c r="Q13" s="69"/>
      <c r="R13" s="69"/>
      <c r="S13" s="70">
        <f t="shared" si="1"/>
        <v>0</v>
      </c>
    </row>
    <row r="14" spans="1:20" ht="27" customHeight="1" x14ac:dyDescent="0.25">
      <c r="B14" s="2" t="s">
        <v>321</v>
      </c>
      <c r="C14" s="243" t="s">
        <v>264</v>
      </c>
      <c r="D14" s="95" t="s">
        <v>254</v>
      </c>
      <c r="E14" s="2" t="s">
        <v>322</v>
      </c>
      <c r="F14" s="2" t="s">
        <v>7</v>
      </c>
      <c r="G14" s="191">
        <v>2.9600000000000001E-2</v>
      </c>
      <c r="H14" s="191">
        <v>0.1744</v>
      </c>
      <c r="I14" s="192">
        <v>44742</v>
      </c>
      <c r="J14" s="192">
        <v>44757</v>
      </c>
      <c r="K14" s="192">
        <v>43979</v>
      </c>
      <c r="L14" s="193" t="s">
        <v>333</v>
      </c>
      <c r="M14" s="81">
        <v>1027</v>
      </c>
      <c r="N14" s="69"/>
      <c r="O14" s="69">
        <f t="shared" si="0"/>
        <v>1027</v>
      </c>
      <c r="P14" s="68"/>
      <c r="Q14" s="69"/>
      <c r="R14" s="69"/>
      <c r="S14" s="70">
        <f t="shared" si="1"/>
        <v>0</v>
      </c>
    </row>
    <row r="15" spans="1:20" ht="27" customHeight="1" x14ac:dyDescent="0.25">
      <c r="B15" s="2" t="s">
        <v>327</v>
      </c>
      <c r="C15" s="243" t="s">
        <v>242</v>
      </c>
      <c r="D15" s="95" t="s">
        <v>328</v>
      </c>
      <c r="E15" s="2" t="s">
        <v>329</v>
      </c>
      <c r="F15" s="2" t="s">
        <v>7</v>
      </c>
      <c r="G15" s="191">
        <v>2.9600000000000001E-2</v>
      </c>
      <c r="H15" s="191">
        <v>0.1744</v>
      </c>
      <c r="I15" s="192">
        <v>44440</v>
      </c>
      <c r="J15" s="192">
        <v>44440</v>
      </c>
      <c r="K15" s="192">
        <v>44201</v>
      </c>
      <c r="L15" s="193" t="s">
        <v>330</v>
      </c>
      <c r="M15" s="81">
        <v>101544.67</v>
      </c>
      <c r="N15" s="69"/>
      <c r="O15" s="69">
        <f t="shared" si="0"/>
        <v>101544.67</v>
      </c>
      <c r="P15" s="68"/>
      <c r="Q15" s="69"/>
      <c r="R15" s="69"/>
      <c r="S15" s="70">
        <f t="shared" si="1"/>
        <v>0</v>
      </c>
    </row>
    <row r="16" spans="1:20" x14ac:dyDescent="0.25">
      <c r="D16" s="95"/>
      <c r="G16" s="191"/>
      <c r="H16" s="191"/>
      <c r="I16" s="192"/>
      <c r="J16" s="192"/>
      <c r="K16" s="192"/>
      <c r="L16" s="193"/>
      <c r="M16" s="10"/>
      <c r="N16" s="24"/>
      <c r="O16" s="152"/>
      <c r="P16" s="25"/>
      <c r="Q16" s="25"/>
      <c r="R16" s="25"/>
      <c r="S16" s="151"/>
    </row>
    <row r="17" spans="2:19" ht="22.5" customHeight="1" x14ac:dyDescent="0.25">
      <c r="C17" s="95"/>
      <c r="D17" s="95"/>
      <c r="G17" s="126"/>
      <c r="H17" s="127" t="s">
        <v>100</v>
      </c>
      <c r="I17" s="119"/>
      <c r="J17" s="119"/>
      <c r="K17" s="119"/>
      <c r="L17" s="21" t="s">
        <v>38</v>
      </c>
      <c r="M17" s="68">
        <f>SUM(M7:M16)</f>
        <v>188058.72999999998</v>
      </c>
      <c r="N17" s="321">
        <f>SUM(N7:N16)</f>
        <v>-3994.75</v>
      </c>
      <c r="O17" s="68">
        <f>SUM(O7:O16)</f>
        <v>184063.97999999998</v>
      </c>
      <c r="P17" s="68"/>
      <c r="Q17" s="68">
        <f>SUM(Q7:Q16)</f>
        <v>73108.540000000008</v>
      </c>
      <c r="R17" s="68">
        <f>SUM(R7:R16)</f>
        <v>0</v>
      </c>
      <c r="S17" s="23">
        <f>SUM(S7:S16)</f>
        <v>73108.540000000008</v>
      </c>
    </row>
    <row r="18" spans="2:19" x14ac:dyDescent="0.25">
      <c r="C18" s="95"/>
      <c r="D18" s="95"/>
      <c r="I18" s="119"/>
      <c r="J18" s="119"/>
      <c r="K18" s="119"/>
      <c r="S18" s="27"/>
    </row>
    <row r="19" spans="2:19" x14ac:dyDescent="0.25">
      <c r="C19" s="95"/>
      <c r="D19" s="95"/>
      <c r="I19" s="119"/>
      <c r="J19" s="119"/>
      <c r="K19" s="119"/>
      <c r="S19" s="27"/>
    </row>
    <row r="20" spans="2:19" x14ac:dyDescent="0.25">
      <c r="B20" s="8" t="s">
        <v>125</v>
      </c>
      <c r="C20" s="94"/>
      <c r="D20" s="94"/>
      <c r="S20" s="27"/>
    </row>
    <row r="21" spans="2:19" ht="28.5" customHeight="1" x14ac:dyDescent="0.25">
      <c r="B21" s="338" t="s">
        <v>126</v>
      </c>
      <c r="C21" s="338"/>
      <c r="D21" s="338"/>
      <c r="E21" s="338"/>
      <c r="F21" s="338"/>
      <c r="G21" s="120"/>
      <c r="H21" s="120"/>
      <c r="I21" s="114"/>
      <c r="S21" s="27"/>
    </row>
    <row r="22" spans="2:19" x14ac:dyDescent="0.25">
      <c r="C22" s="94"/>
      <c r="D22" s="94"/>
      <c r="S22" s="27"/>
    </row>
    <row r="23" spans="2:19" ht="49.5" customHeight="1" x14ac:dyDescent="0.25">
      <c r="B23" s="338" t="s">
        <v>129</v>
      </c>
      <c r="C23" s="338"/>
      <c r="D23" s="338"/>
      <c r="E23" s="338"/>
      <c r="F23" s="338"/>
      <c r="G23" s="120"/>
      <c r="H23" s="120"/>
      <c r="I23" s="114"/>
      <c r="M23" s="292"/>
      <c r="S23" s="27"/>
    </row>
    <row r="24" spans="2:19" x14ac:dyDescent="0.25">
      <c r="B24" s="111"/>
      <c r="C24" s="111"/>
      <c r="D24" s="111"/>
      <c r="E24" s="111"/>
      <c r="F24" s="111"/>
      <c r="G24" s="120"/>
      <c r="H24" s="120"/>
      <c r="I24" s="114"/>
      <c r="S24" s="27"/>
    </row>
    <row r="25" spans="2:19" ht="30.75" customHeight="1" x14ac:dyDescent="0.25">
      <c r="B25" s="338" t="s">
        <v>160</v>
      </c>
      <c r="C25" s="338"/>
      <c r="D25" s="338"/>
      <c r="E25" s="338"/>
      <c r="F25" s="338"/>
      <c r="G25" s="198"/>
      <c r="H25" s="198"/>
      <c r="I25" s="198"/>
      <c r="S25" s="27"/>
    </row>
    <row r="26" spans="2:19" ht="15" customHeight="1" x14ac:dyDescent="0.25">
      <c r="B26" s="346" t="s">
        <v>159</v>
      </c>
      <c r="C26" s="338"/>
      <c r="D26" s="338"/>
      <c r="E26" s="338"/>
      <c r="F26" s="338"/>
      <c r="G26" s="198"/>
      <c r="H26" s="198"/>
      <c r="I26" s="198"/>
      <c r="S26" s="27"/>
    </row>
    <row r="27" spans="2:19" ht="15" customHeight="1" x14ac:dyDescent="0.25">
      <c r="B27" s="200"/>
      <c r="C27" s="200"/>
      <c r="D27" s="200"/>
      <c r="E27" s="200"/>
      <c r="F27" s="200"/>
      <c r="G27" s="200"/>
      <c r="H27" s="200"/>
      <c r="I27" s="200"/>
      <c r="S27" s="27"/>
    </row>
    <row r="28" spans="2:19" x14ac:dyDescent="0.25">
      <c r="B28" s="7" t="s">
        <v>109</v>
      </c>
      <c r="C28" s="104" t="s">
        <v>112</v>
      </c>
      <c r="D28" s="104" t="s">
        <v>113</v>
      </c>
      <c r="E28" s="111"/>
      <c r="F28" s="111"/>
      <c r="G28" s="120"/>
      <c r="H28" s="120"/>
      <c r="I28" s="114"/>
      <c r="S28" s="27"/>
    </row>
    <row r="29" spans="2:19" x14ac:dyDescent="0.25">
      <c r="B29" s="106" t="s">
        <v>111</v>
      </c>
      <c r="C29" s="94" t="s">
        <v>114</v>
      </c>
      <c r="D29" s="94" t="s">
        <v>119</v>
      </c>
      <c r="S29" s="27"/>
    </row>
    <row r="30" spans="2:19" x14ac:dyDescent="0.25">
      <c r="B30" s="2" t="s">
        <v>252</v>
      </c>
      <c r="C30" s="94" t="s">
        <v>135</v>
      </c>
      <c r="D30" s="94" t="s">
        <v>147</v>
      </c>
      <c r="S30" s="27"/>
    </row>
    <row r="31" spans="2:19" x14ac:dyDescent="0.25">
      <c r="B31" s="2" t="s">
        <v>256</v>
      </c>
      <c r="C31" s="94" t="s">
        <v>135</v>
      </c>
      <c r="D31" s="94" t="s">
        <v>147</v>
      </c>
      <c r="S31" s="27"/>
    </row>
    <row r="32" spans="2:19" x14ac:dyDescent="0.25">
      <c r="B32" s="2" t="s">
        <v>260</v>
      </c>
      <c r="C32" s="94" t="s">
        <v>135</v>
      </c>
      <c r="D32" s="94" t="s">
        <v>147</v>
      </c>
      <c r="S32" s="27"/>
    </row>
    <row r="33" spans="2:20" x14ac:dyDescent="0.25">
      <c r="B33" s="2" t="s">
        <v>314</v>
      </c>
      <c r="C33" s="94" t="s">
        <v>135</v>
      </c>
      <c r="D33" s="94" t="s">
        <v>147</v>
      </c>
      <c r="S33" s="27"/>
    </row>
    <row r="34" spans="2:20" x14ac:dyDescent="0.25">
      <c r="B34" s="2" t="s">
        <v>318</v>
      </c>
      <c r="C34" s="94" t="s">
        <v>135</v>
      </c>
      <c r="D34" s="94" t="s">
        <v>147</v>
      </c>
      <c r="S34" s="27"/>
    </row>
    <row r="35" spans="2:20" x14ac:dyDescent="0.25">
      <c r="B35" s="2" t="s">
        <v>321</v>
      </c>
      <c r="C35" s="94" t="s">
        <v>135</v>
      </c>
      <c r="D35" s="94" t="s">
        <v>147</v>
      </c>
      <c r="S35" s="27"/>
    </row>
    <row r="36" spans="2:20" x14ac:dyDescent="0.25">
      <c r="B36" s="2" t="s">
        <v>326</v>
      </c>
      <c r="C36" s="94" t="s">
        <v>135</v>
      </c>
      <c r="D36" s="94" t="s">
        <v>147</v>
      </c>
      <c r="S36" s="27"/>
    </row>
    <row r="37" spans="2:20" x14ac:dyDescent="0.25">
      <c r="C37" s="94"/>
      <c r="D37" s="94"/>
      <c r="S37" s="27"/>
    </row>
    <row r="38" spans="2:20" x14ac:dyDescent="0.25">
      <c r="B38" s="270" t="s">
        <v>235</v>
      </c>
      <c r="C38" s="94"/>
      <c r="D38" s="94"/>
      <c r="S38" s="27"/>
    </row>
    <row r="39" spans="2:20" x14ac:dyDescent="0.25">
      <c r="B39" s="266" t="s">
        <v>236</v>
      </c>
      <c r="C39" s="42"/>
      <c r="D39" s="42"/>
      <c r="E39" s="29"/>
      <c r="F39" s="29"/>
      <c r="G39" s="29"/>
      <c r="H39" s="29"/>
      <c r="I39" s="29"/>
      <c r="J39" s="29"/>
      <c r="K39" s="29"/>
      <c r="L39" s="29"/>
      <c r="M39" s="29"/>
      <c r="N39" s="29"/>
      <c r="O39" s="29"/>
      <c r="P39" s="29"/>
      <c r="Q39" s="29"/>
      <c r="R39" s="29"/>
      <c r="S39" s="27"/>
    </row>
    <row r="40" spans="2:20" x14ac:dyDescent="0.25">
      <c r="B40" s="29"/>
      <c r="C40" s="42"/>
      <c r="D40" s="42"/>
      <c r="E40" s="29"/>
      <c r="F40" s="29"/>
      <c r="G40" s="29"/>
      <c r="H40" s="29"/>
      <c r="I40" s="29"/>
      <c r="J40" s="29"/>
      <c r="K40" s="29"/>
      <c r="L40" s="29"/>
      <c r="M40" s="29"/>
      <c r="N40" s="29"/>
      <c r="O40" s="29"/>
      <c r="P40" s="29"/>
      <c r="Q40" s="29"/>
      <c r="R40" s="29"/>
      <c r="S40" s="27"/>
    </row>
    <row r="41" spans="2:20" x14ac:dyDescent="0.25">
      <c r="B41" s="112"/>
      <c r="C41" s="273"/>
      <c r="D41" s="273"/>
      <c r="E41" s="112"/>
      <c r="F41" s="112"/>
      <c r="G41" s="112"/>
      <c r="H41" s="112"/>
      <c r="I41" s="112"/>
      <c r="J41" s="112"/>
      <c r="K41" s="112"/>
      <c r="L41" s="112"/>
      <c r="M41" s="112"/>
      <c r="N41" s="112"/>
      <c r="O41" s="112"/>
      <c r="P41" s="112"/>
      <c r="Q41" s="168" t="s">
        <v>89</v>
      </c>
      <c r="R41" s="168"/>
      <c r="S41" s="169"/>
    </row>
    <row r="42" spans="2:20" ht="15" customHeight="1" x14ac:dyDescent="0.25">
      <c r="B42" s="17" t="s">
        <v>39</v>
      </c>
      <c r="C42" s="98" t="s">
        <v>2</v>
      </c>
      <c r="D42" s="98"/>
      <c r="E42" s="98" t="s">
        <v>34</v>
      </c>
      <c r="F42" s="98" t="s">
        <v>35</v>
      </c>
      <c r="G42" s="123"/>
      <c r="H42" s="123"/>
      <c r="I42" s="117"/>
      <c r="J42" s="98"/>
      <c r="K42" s="98"/>
      <c r="L42" s="98" t="s">
        <v>36</v>
      </c>
      <c r="M42" s="98" t="s">
        <v>37</v>
      </c>
      <c r="N42" s="10"/>
      <c r="O42" s="10"/>
      <c r="P42" s="10"/>
      <c r="Q42" s="54" t="s">
        <v>88</v>
      </c>
      <c r="R42" s="52"/>
      <c r="S42" s="53"/>
      <c r="T42" s="51"/>
    </row>
    <row r="43" spans="2:20" ht="15" customHeight="1" x14ac:dyDescent="0.25">
      <c r="B43" s="65"/>
      <c r="C43" s="9"/>
      <c r="D43" s="9"/>
      <c r="E43" s="9"/>
      <c r="F43" s="9"/>
      <c r="G43" s="9"/>
      <c r="H43" s="9"/>
      <c r="I43" s="9"/>
      <c r="J43" s="9"/>
      <c r="K43" s="9"/>
      <c r="L43" s="9"/>
      <c r="M43" s="9"/>
      <c r="Q43" s="49"/>
      <c r="R43" s="50"/>
      <c r="S43" s="50"/>
      <c r="T43" s="51"/>
    </row>
    <row r="44" spans="2:20" ht="15" customHeight="1" x14ac:dyDescent="0.25">
      <c r="B44" s="65"/>
      <c r="C44" s="9"/>
      <c r="D44" s="9"/>
      <c r="E44" s="9"/>
      <c r="F44" s="9"/>
      <c r="G44" s="9"/>
      <c r="H44" s="9"/>
      <c r="I44" s="9"/>
      <c r="J44" s="9"/>
      <c r="K44" s="9"/>
      <c r="L44" s="9"/>
      <c r="M44" s="9"/>
      <c r="R44" s="51"/>
      <c r="S44" s="51"/>
      <c r="T44" s="51"/>
    </row>
    <row r="45" spans="2:20" x14ac:dyDescent="0.25">
      <c r="B45" s="11"/>
      <c r="C45" s="9"/>
      <c r="D45" s="9"/>
      <c r="E45" s="9"/>
    </row>
    <row r="46" spans="2:20" x14ac:dyDescent="0.25">
      <c r="B46" s="12"/>
      <c r="C46" s="13"/>
      <c r="D46" s="13"/>
      <c r="E46" s="14"/>
      <c r="F46" s="15"/>
      <c r="G46" s="15"/>
      <c r="H46" s="15"/>
      <c r="I46" s="15"/>
      <c r="J46" s="15"/>
      <c r="K46" s="15"/>
      <c r="L46" s="16"/>
      <c r="M46" s="20"/>
      <c r="N46" s="18"/>
      <c r="O46" s="18"/>
      <c r="P46" s="18"/>
    </row>
    <row r="47" spans="2:20" x14ac:dyDescent="0.25">
      <c r="B47" s="12"/>
      <c r="C47" s="13"/>
      <c r="D47" s="13"/>
      <c r="E47" s="14"/>
      <c r="F47" s="15"/>
      <c r="G47" s="15"/>
      <c r="H47" s="15"/>
      <c r="I47" s="15"/>
      <c r="J47" s="15"/>
      <c r="K47" s="15"/>
      <c r="L47" s="16"/>
      <c r="M47" s="20"/>
      <c r="N47" s="18"/>
      <c r="O47" s="18"/>
      <c r="P47" s="18"/>
    </row>
    <row r="48" spans="2:20" x14ac:dyDescent="0.25">
      <c r="B48" s="12"/>
      <c r="C48" s="13"/>
      <c r="D48" s="13"/>
      <c r="E48" s="14"/>
      <c r="F48" s="15"/>
      <c r="G48" s="15"/>
      <c r="H48" s="15"/>
      <c r="I48" s="15"/>
      <c r="J48" s="15"/>
      <c r="K48" s="15"/>
      <c r="L48" s="16"/>
      <c r="M48" s="20"/>
      <c r="N48" s="18"/>
      <c r="O48" s="18"/>
      <c r="P48" s="18"/>
    </row>
    <row r="49" spans="2:19" x14ac:dyDescent="0.25">
      <c r="B49" s="12"/>
      <c r="C49" s="13"/>
      <c r="D49" s="13"/>
      <c r="E49" s="14"/>
      <c r="F49" s="15"/>
      <c r="G49" s="15"/>
      <c r="H49" s="15"/>
      <c r="I49" s="15"/>
      <c r="J49" s="15"/>
      <c r="K49" s="15"/>
      <c r="L49" s="16"/>
      <c r="M49" s="20"/>
      <c r="N49" s="18"/>
      <c r="O49" s="18"/>
      <c r="P49" s="18"/>
    </row>
    <row r="50" spans="2:19" x14ac:dyDescent="0.25">
      <c r="Q50" s="325" t="s">
        <v>343</v>
      </c>
      <c r="R50" s="325"/>
      <c r="S50" s="327">
        <f>S17</f>
        <v>73108.540000000008</v>
      </c>
    </row>
  </sheetData>
  <mergeCells count="6">
    <mergeCell ref="B26:F26"/>
    <mergeCell ref="Q2:S2"/>
    <mergeCell ref="Q1:S1"/>
    <mergeCell ref="B21:F21"/>
    <mergeCell ref="B23:F23"/>
    <mergeCell ref="B25:F25"/>
  </mergeCells>
  <hyperlinks>
    <hyperlink ref="B26" r:id="rId1"/>
  </hyperlinks>
  <printOptions horizontalCentered="1" gridLines="1"/>
  <pageMargins left="0" right="0" top="0.75" bottom="0.75" header="0.3" footer="0.3"/>
  <pageSetup scale="54" orientation="landscape" horizontalDpi="1200" verticalDpi="1200"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0"/>
  <sheetViews>
    <sheetView topLeftCell="D16" zoomScale="90" zoomScaleNormal="90" workbookViewId="0">
      <selection activeCell="S51" sqref="S51"/>
    </sheetView>
  </sheetViews>
  <sheetFormatPr defaultColWidth="9.140625" defaultRowHeight="15" x14ac:dyDescent="0.25"/>
  <cols>
    <col min="1" max="1" width="9.140625" style="2" hidden="1" customWidth="1"/>
    <col min="2" max="2" width="60.28515625" style="2" customWidth="1"/>
    <col min="3" max="3" width="26.42578125" style="2" customWidth="1"/>
    <col min="4" max="4" width="13.7109375" style="2" customWidth="1"/>
    <col min="5" max="5" width="18.140625" style="2" customWidth="1"/>
    <col min="6" max="6" width="21.5703125" style="2" customWidth="1"/>
    <col min="7" max="7" width="12" style="2" customWidth="1"/>
    <col min="8" max="8" width="13.85546875" style="2" customWidth="1"/>
    <col min="9" max="9" width="14.140625" style="2" customWidth="1"/>
    <col min="10" max="10" width="15.140625" style="2" customWidth="1"/>
    <col min="11" max="11" width="10.28515625" style="2" customWidth="1"/>
    <col min="12" max="12" width="18.425781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6.7109375" style="2" customWidth="1"/>
    <col min="20" max="16384" width="9.140625" style="2"/>
  </cols>
  <sheetData>
    <row r="1" spans="1:20" ht="15.6" customHeight="1" x14ac:dyDescent="0.25">
      <c r="A1" s="2" t="s">
        <v>342</v>
      </c>
      <c r="B1" s="1" t="s">
        <v>18</v>
      </c>
      <c r="Q1" s="335" t="s">
        <v>230</v>
      </c>
      <c r="R1" s="335"/>
      <c r="S1" s="335"/>
    </row>
    <row r="2" spans="1:20" x14ac:dyDescent="0.25">
      <c r="B2" s="90" t="s">
        <v>148</v>
      </c>
      <c r="C2" s="187">
        <v>44377</v>
      </c>
      <c r="M2" s="73"/>
      <c r="N2" s="73"/>
      <c r="P2" s="29"/>
      <c r="Q2" s="334" t="s">
        <v>338</v>
      </c>
      <c r="R2" s="334"/>
      <c r="S2" s="334"/>
    </row>
    <row r="3" spans="1:20" ht="15.75" thickBot="1" x14ac:dyDescent="0.3">
      <c r="A3" s="2" t="s">
        <v>16</v>
      </c>
      <c r="B3" s="44" t="s">
        <v>56</v>
      </c>
      <c r="C3" s="8"/>
      <c r="D3" s="8"/>
      <c r="E3" s="8"/>
      <c r="P3" s="29"/>
      <c r="Q3" s="45"/>
      <c r="R3" s="30"/>
    </row>
    <row r="4" spans="1:20" x14ac:dyDescent="0.25">
      <c r="B4" s="8" t="s">
        <v>174</v>
      </c>
      <c r="M4" s="87" t="s">
        <v>28</v>
      </c>
      <c r="N4" s="87" t="s">
        <v>28</v>
      </c>
      <c r="O4" s="87" t="s">
        <v>28</v>
      </c>
      <c r="P4" s="9"/>
      <c r="Q4" s="91" t="s">
        <v>29</v>
      </c>
      <c r="R4" s="91" t="s">
        <v>31</v>
      </c>
      <c r="S4" s="91" t="s">
        <v>23</v>
      </c>
      <c r="T4" s="7"/>
    </row>
    <row r="5" spans="1:20" ht="15.75" thickBot="1" x14ac:dyDescent="0.3">
      <c r="G5" s="188" t="s">
        <v>231</v>
      </c>
      <c r="H5" s="188" t="s">
        <v>231</v>
      </c>
      <c r="M5" s="88" t="s">
        <v>27</v>
      </c>
      <c r="N5" s="88" t="s">
        <v>26</v>
      </c>
      <c r="O5" s="88" t="s">
        <v>25</v>
      </c>
      <c r="P5" s="9"/>
      <c r="Q5" s="92" t="s">
        <v>30</v>
      </c>
      <c r="R5" s="92" t="s">
        <v>30</v>
      </c>
      <c r="S5" s="92" t="s">
        <v>30</v>
      </c>
      <c r="T5" s="7"/>
    </row>
    <row r="6" spans="1:20" ht="85.5" customHeight="1" thickBot="1" x14ac:dyDescent="0.3">
      <c r="B6" s="86" t="s">
        <v>1</v>
      </c>
      <c r="C6" s="86" t="s">
        <v>127</v>
      </c>
      <c r="D6" s="86" t="s">
        <v>107</v>
      </c>
      <c r="E6" s="86" t="s">
        <v>3</v>
      </c>
      <c r="F6" s="86" t="s">
        <v>4</v>
      </c>
      <c r="G6" s="110" t="s">
        <v>136</v>
      </c>
      <c r="H6" s="110" t="s">
        <v>137</v>
      </c>
      <c r="I6" s="110" t="s">
        <v>133</v>
      </c>
      <c r="J6" s="110" t="s">
        <v>134</v>
      </c>
      <c r="K6" s="110" t="s">
        <v>121</v>
      </c>
      <c r="L6" s="85" t="s">
        <v>5</v>
      </c>
      <c r="M6" s="89" t="s">
        <v>6</v>
      </c>
      <c r="N6" s="89" t="s">
        <v>6</v>
      </c>
      <c r="O6" s="89" t="s">
        <v>6</v>
      </c>
      <c r="P6" s="9"/>
      <c r="Q6" s="93"/>
      <c r="R6" s="99" t="s">
        <v>32</v>
      </c>
      <c r="S6" s="100" t="s">
        <v>33</v>
      </c>
    </row>
    <row r="7" spans="1:20" ht="36" customHeight="1" x14ac:dyDescent="0.25">
      <c r="B7" s="2" t="s">
        <v>128</v>
      </c>
      <c r="C7" s="243" t="s">
        <v>122</v>
      </c>
      <c r="D7" s="95" t="s">
        <v>248</v>
      </c>
      <c r="E7" s="2" t="s">
        <v>233</v>
      </c>
      <c r="F7" s="2" t="s">
        <v>7</v>
      </c>
      <c r="G7" s="191">
        <v>2.9600000000000001E-2</v>
      </c>
      <c r="H7" s="191">
        <v>0.1744</v>
      </c>
      <c r="I7" s="192">
        <v>44377</v>
      </c>
      <c r="J7" s="192">
        <v>44378</v>
      </c>
      <c r="K7" s="192">
        <v>44013</v>
      </c>
      <c r="L7" s="193" t="s">
        <v>234</v>
      </c>
      <c r="M7" s="69">
        <v>10463.790000000001</v>
      </c>
      <c r="N7" s="69"/>
      <c r="O7" s="69">
        <f>M7+N7</f>
        <v>10463.790000000001</v>
      </c>
      <c r="P7" s="29"/>
      <c r="Q7" s="69">
        <v>10463.790000000001</v>
      </c>
      <c r="R7" s="69"/>
      <c r="S7" s="70">
        <f>Q7+R7</f>
        <v>10463.790000000001</v>
      </c>
    </row>
    <row r="8" spans="1:20" ht="36" customHeight="1" x14ac:dyDescent="0.25">
      <c r="B8" s="2" t="s">
        <v>241</v>
      </c>
      <c r="C8" s="243" t="s">
        <v>242</v>
      </c>
      <c r="D8" s="95" t="s">
        <v>243</v>
      </c>
      <c r="E8" s="2" t="s">
        <v>244</v>
      </c>
      <c r="F8" s="2" t="s">
        <v>7</v>
      </c>
      <c r="G8" s="191">
        <v>2.9600000000000001E-2</v>
      </c>
      <c r="H8" s="191">
        <v>0.1744</v>
      </c>
      <c r="I8" s="192">
        <v>44834</v>
      </c>
      <c r="J8" s="192">
        <v>44849</v>
      </c>
      <c r="K8" s="192">
        <v>43614</v>
      </c>
      <c r="L8" s="193" t="s">
        <v>311</v>
      </c>
      <c r="M8" s="69">
        <v>65482.02</v>
      </c>
      <c r="N8" s="69"/>
      <c r="O8" s="69">
        <f>M8+N8</f>
        <v>65482.02</v>
      </c>
      <c r="P8" s="29"/>
      <c r="Q8" s="69"/>
      <c r="R8" s="69"/>
      <c r="S8" s="70">
        <f>Q8+R8</f>
        <v>0</v>
      </c>
    </row>
    <row r="9" spans="1:20" ht="27.75" customHeight="1" x14ac:dyDescent="0.25">
      <c r="B9" s="2" t="s">
        <v>283</v>
      </c>
      <c r="C9" s="243" t="s">
        <v>264</v>
      </c>
      <c r="D9" s="95" t="s">
        <v>254</v>
      </c>
      <c r="E9" s="2" t="s">
        <v>284</v>
      </c>
      <c r="F9" s="2" t="s">
        <v>7</v>
      </c>
      <c r="G9" s="191">
        <f t="shared" ref="G9:H9" si="0">+G8</f>
        <v>2.9600000000000001E-2</v>
      </c>
      <c r="H9" s="191">
        <f t="shared" si="0"/>
        <v>0.1744</v>
      </c>
      <c r="I9" s="192">
        <v>44377</v>
      </c>
      <c r="J9" s="192">
        <v>44392</v>
      </c>
      <c r="K9" s="192">
        <v>43613</v>
      </c>
      <c r="L9" s="193" t="s">
        <v>234</v>
      </c>
      <c r="M9" s="81">
        <v>7302.48</v>
      </c>
      <c r="N9" s="69"/>
      <c r="O9" s="69">
        <f>M9+N9</f>
        <v>7302.48</v>
      </c>
      <c r="P9" s="69"/>
      <c r="Q9" s="69"/>
      <c r="R9" s="69"/>
      <c r="S9" s="70">
        <f>Q9+R9</f>
        <v>0</v>
      </c>
    </row>
    <row r="10" spans="1:20" ht="27.75" customHeight="1" x14ac:dyDescent="0.25">
      <c r="B10" s="2" t="s">
        <v>314</v>
      </c>
      <c r="C10" s="243" t="s">
        <v>242</v>
      </c>
      <c r="D10" s="95" t="s">
        <v>243</v>
      </c>
      <c r="E10" s="2" t="s">
        <v>315</v>
      </c>
      <c r="F10" s="2" t="s">
        <v>7</v>
      </c>
      <c r="G10" s="313">
        <f>+G8</f>
        <v>2.9600000000000001E-2</v>
      </c>
      <c r="H10" s="313">
        <f>+H8</f>
        <v>0.1744</v>
      </c>
      <c r="I10" s="312">
        <v>44773</v>
      </c>
      <c r="J10" s="312">
        <v>44788</v>
      </c>
      <c r="K10" s="192">
        <v>43980</v>
      </c>
      <c r="L10" s="193" t="s">
        <v>316</v>
      </c>
      <c r="M10" s="81">
        <v>2920.75</v>
      </c>
      <c r="N10" s="72"/>
      <c r="O10" s="69">
        <f>M10+N10</f>
        <v>2920.75</v>
      </c>
      <c r="P10" s="69"/>
      <c r="Q10" s="69"/>
      <c r="R10" s="69"/>
      <c r="S10" s="70">
        <f>Q10+R10</f>
        <v>0</v>
      </c>
    </row>
    <row r="11" spans="1:20" ht="27.75" customHeight="1" x14ac:dyDescent="0.25">
      <c r="B11" s="2" t="s">
        <v>318</v>
      </c>
      <c r="C11" s="243" t="s">
        <v>242</v>
      </c>
      <c r="D11" s="95" t="s">
        <v>243</v>
      </c>
      <c r="E11" s="2" t="s">
        <v>319</v>
      </c>
      <c r="F11" s="2" t="s">
        <v>7</v>
      </c>
      <c r="G11" s="191">
        <v>2.9600000000000001E-2</v>
      </c>
      <c r="H11" s="191">
        <v>0.1744</v>
      </c>
      <c r="I11" s="192">
        <v>44561</v>
      </c>
      <c r="J11" s="192">
        <v>44576</v>
      </c>
      <c r="K11" s="192">
        <v>43980</v>
      </c>
      <c r="L11" s="193" t="s">
        <v>320</v>
      </c>
      <c r="M11" s="81">
        <v>3000</v>
      </c>
      <c r="N11" s="69"/>
      <c r="O11" s="69">
        <f t="shared" ref="O11:O13" si="1">M11+N11</f>
        <v>3000</v>
      </c>
      <c r="P11" s="68"/>
      <c r="Q11" s="69"/>
      <c r="R11" s="69"/>
      <c r="S11" s="70">
        <f t="shared" ref="S11:S13" si="2">Q11+R11</f>
        <v>0</v>
      </c>
    </row>
    <row r="12" spans="1:20" ht="27.75" customHeight="1" x14ac:dyDescent="0.25">
      <c r="B12" s="2" t="s">
        <v>321</v>
      </c>
      <c r="C12" s="243" t="s">
        <v>264</v>
      </c>
      <c r="D12" s="95" t="s">
        <v>254</v>
      </c>
      <c r="E12" s="2" t="s">
        <v>322</v>
      </c>
      <c r="F12" s="2" t="s">
        <v>7</v>
      </c>
      <c r="G12" s="191">
        <v>2.9600000000000001E-2</v>
      </c>
      <c r="H12" s="191">
        <v>0.1744</v>
      </c>
      <c r="I12" s="192">
        <v>44742</v>
      </c>
      <c r="J12" s="192">
        <v>44757</v>
      </c>
      <c r="K12" s="192">
        <v>43979</v>
      </c>
      <c r="L12" s="193" t="s">
        <v>323</v>
      </c>
      <c r="M12" s="81">
        <v>1027</v>
      </c>
      <c r="N12" s="69"/>
      <c r="O12" s="69">
        <f t="shared" si="1"/>
        <v>1027</v>
      </c>
      <c r="P12" s="68"/>
      <c r="Q12" s="69"/>
      <c r="R12" s="69"/>
      <c r="S12" s="70">
        <f t="shared" si="2"/>
        <v>0</v>
      </c>
    </row>
    <row r="13" spans="1:20" ht="27.75" customHeight="1" x14ac:dyDescent="0.25">
      <c r="B13" s="2" t="s">
        <v>327</v>
      </c>
      <c r="C13" s="243" t="s">
        <v>242</v>
      </c>
      <c r="D13" s="95" t="s">
        <v>328</v>
      </c>
      <c r="E13" s="2" t="s">
        <v>329</v>
      </c>
      <c r="F13" s="2" t="s">
        <v>7</v>
      </c>
      <c r="G13" s="191">
        <v>2.9600000000000001E-2</v>
      </c>
      <c r="H13" s="191">
        <v>0.1744</v>
      </c>
      <c r="I13" s="192">
        <v>44440</v>
      </c>
      <c r="J13" s="192">
        <v>44440</v>
      </c>
      <c r="K13" s="192">
        <v>44201</v>
      </c>
      <c r="L13" s="193" t="s">
        <v>330</v>
      </c>
      <c r="M13" s="81">
        <v>131088.78</v>
      </c>
      <c r="N13" s="69"/>
      <c r="O13" s="69">
        <f t="shared" si="1"/>
        <v>131088.78</v>
      </c>
      <c r="P13" s="68"/>
      <c r="Q13" s="69"/>
      <c r="R13" s="69"/>
      <c r="S13" s="70">
        <f t="shared" si="2"/>
        <v>0</v>
      </c>
    </row>
    <row r="14" spans="1:20" x14ac:dyDescent="0.25">
      <c r="D14" s="95"/>
      <c r="G14" s="191"/>
      <c r="H14" s="191"/>
      <c r="I14" s="192"/>
      <c r="J14" s="192"/>
      <c r="K14" s="192"/>
      <c r="L14" s="193"/>
      <c r="M14" s="25"/>
      <c r="N14" s="25"/>
      <c r="O14" s="25"/>
      <c r="P14" s="29"/>
      <c r="Q14" s="25"/>
      <c r="R14" s="25"/>
      <c r="S14" s="26"/>
    </row>
    <row r="15" spans="1:20" ht="24.75" customHeight="1" x14ac:dyDescent="0.25">
      <c r="C15" s="94"/>
      <c r="D15" s="94"/>
      <c r="G15" s="126"/>
      <c r="H15" s="127"/>
      <c r="I15" s="119"/>
      <c r="J15" s="119"/>
      <c r="K15" s="119"/>
      <c r="L15" s="21" t="s">
        <v>38</v>
      </c>
      <c r="M15" s="68">
        <f>SUM(M7:M14)</f>
        <v>221284.82</v>
      </c>
      <c r="N15" s="68">
        <f>SUM(N7:N14)</f>
        <v>0</v>
      </c>
      <c r="O15" s="68">
        <f>SUM(O7:O14)</f>
        <v>221284.82</v>
      </c>
      <c r="P15" s="68"/>
      <c r="Q15" s="68">
        <f>SUM(Q7:Q14)</f>
        <v>10463.790000000001</v>
      </c>
      <c r="R15" s="68">
        <f>SUM(R7:R14)</f>
        <v>0</v>
      </c>
      <c r="S15" s="23">
        <f>SUM(S7:S14)</f>
        <v>10463.790000000001</v>
      </c>
    </row>
    <row r="16" spans="1:20" x14ac:dyDescent="0.25">
      <c r="B16" s="29"/>
      <c r="C16" s="94"/>
      <c r="D16" s="94"/>
      <c r="I16" s="119"/>
      <c r="J16" s="119"/>
      <c r="K16" s="119"/>
      <c r="L16" s="5"/>
      <c r="M16" s="68"/>
      <c r="N16" s="68"/>
      <c r="O16" s="68"/>
      <c r="Q16" s="68"/>
      <c r="R16" s="68"/>
      <c r="S16" s="70"/>
    </row>
    <row r="17" spans="2:19" x14ac:dyDescent="0.25">
      <c r="B17" s="29"/>
      <c r="C17" s="94"/>
      <c r="D17" s="94"/>
      <c r="I17" s="119"/>
      <c r="J17" s="119"/>
      <c r="K17" s="119"/>
      <c r="L17" s="5"/>
      <c r="M17" s="68"/>
      <c r="N17" s="68"/>
      <c r="O17" s="68"/>
      <c r="Q17" s="68"/>
      <c r="R17" s="68"/>
      <c r="S17" s="70"/>
    </row>
    <row r="18" spans="2:19" x14ac:dyDescent="0.25">
      <c r="B18" s="8" t="s">
        <v>125</v>
      </c>
      <c r="C18" s="94"/>
      <c r="D18" s="94"/>
      <c r="L18" s="5"/>
      <c r="M18" s="68"/>
      <c r="N18" s="68"/>
      <c r="O18" s="68"/>
      <c r="P18" s="29"/>
      <c r="Q18" s="68"/>
      <c r="R18" s="68"/>
      <c r="S18" s="70"/>
    </row>
    <row r="19" spans="2:19" ht="28.5" customHeight="1" x14ac:dyDescent="0.25">
      <c r="B19" s="338" t="s">
        <v>126</v>
      </c>
      <c r="C19" s="338"/>
      <c r="D19" s="338"/>
      <c r="E19" s="338"/>
      <c r="F19" s="338"/>
      <c r="G19" s="120"/>
      <c r="H19" s="120"/>
      <c r="I19" s="114"/>
      <c r="L19" s="5"/>
      <c r="M19" s="68"/>
      <c r="N19" s="68"/>
      <c r="O19" s="68"/>
      <c r="P19" s="29"/>
      <c r="Q19" s="68"/>
      <c r="R19" s="68"/>
      <c r="S19" s="70"/>
    </row>
    <row r="20" spans="2:19" x14ac:dyDescent="0.25">
      <c r="C20" s="94"/>
      <c r="D20" s="94"/>
      <c r="L20" s="5"/>
      <c r="M20" s="68"/>
      <c r="N20" s="68"/>
      <c r="O20" s="68"/>
      <c r="P20" s="29"/>
      <c r="Q20" s="68"/>
      <c r="R20" s="68"/>
      <c r="S20" s="70"/>
    </row>
    <row r="21" spans="2:19" ht="49.5" customHeight="1" x14ac:dyDescent="0.25">
      <c r="B21" s="338" t="s">
        <v>129</v>
      </c>
      <c r="C21" s="338"/>
      <c r="D21" s="338"/>
      <c r="E21" s="338"/>
      <c r="F21" s="338"/>
      <c r="G21" s="120"/>
      <c r="H21" s="120"/>
      <c r="I21" s="114"/>
      <c r="L21" s="5"/>
      <c r="M21" s="68"/>
      <c r="N21" s="68"/>
      <c r="O21" s="68"/>
      <c r="P21" s="29"/>
      <c r="Q21" s="68"/>
      <c r="R21" s="68"/>
      <c r="S21" s="70"/>
    </row>
    <row r="22" spans="2:19" x14ac:dyDescent="0.25">
      <c r="B22" s="198"/>
      <c r="C22" s="198"/>
      <c r="D22" s="198"/>
      <c r="E22" s="198"/>
      <c r="F22" s="198"/>
      <c r="G22" s="198"/>
      <c r="H22" s="198"/>
      <c r="I22" s="198"/>
      <c r="L22" s="5"/>
      <c r="M22" s="68"/>
      <c r="N22" s="68"/>
      <c r="O22" s="68"/>
      <c r="P22" s="29"/>
      <c r="Q22" s="68"/>
      <c r="R22" s="68"/>
      <c r="S22" s="70"/>
    </row>
    <row r="23" spans="2:19" ht="31.5" customHeight="1" x14ac:dyDescent="0.25">
      <c r="B23" s="338" t="s">
        <v>160</v>
      </c>
      <c r="C23" s="338"/>
      <c r="D23" s="338"/>
      <c r="E23" s="338"/>
      <c r="F23" s="338"/>
      <c r="G23" s="198"/>
      <c r="H23" s="198"/>
      <c r="I23" s="198"/>
      <c r="L23" s="5"/>
      <c r="M23" s="68"/>
      <c r="N23" s="68"/>
      <c r="O23" s="68"/>
      <c r="P23" s="29"/>
      <c r="Q23" s="68"/>
      <c r="R23" s="68"/>
      <c r="S23" s="70"/>
    </row>
    <row r="24" spans="2:19" ht="15" customHeight="1" x14ac:dyDescent="0.25">
      <c r="B24" s="346" t="s">
        <v>159</v>
      </c>
      <c r="C24" s="338"/>
      <c r="D24" s="338"/>
      <c r="E24" s="338"/>
      <c r="F24" s="338"/>
      <c r="G24" s="198"/>
      <c r="H24" s="198"/>
      <c r="I24" s="198"/>
      <c r="L24" s="5"/>
      <c r="M24" s="68"/>
      <c r="N24" s="68"/>
      <c r="O24" s="68"/>
      <c r="P24" s="29"/>
      <c r="Q24" s="68"/>
      <c r="R24" s="68"/>
      <c r="S24" s="70"/>
    </row>
    <row r="25" spans="2:19" ht="15" customHeight="1" x14ac:dyDescent="0.25">
      <c r="B25" s="200"/>
      <c r="C25" s="200"/>
      <c r="D25" s="200"/>
      <c r="E25" s="200"/>
      <c r="F25" s="200"/>
      <c r="G25" s="200"/>
      <c r="H25" s="200"/>
      <c r="I25" s="200"/>
      <c r="L25" s="5"/>
      <c r="M25" s="68"/>
      <c r="N25" s="68"/>
      <c r="O25" s="68"/>
      <c r="P25" s="29"/>
      <c r="Q25" s="68"/>
      <c r="R25" s="68"/>
      <c r="S25" s="70"/>
    </row>
    <row r="26" spans="2:19" x14ac:dyDescent="0.25">
      <c r="B26" s="111"/>
      <c r="C26" s="111"/>
      <c r="D26" s="111"/>
      <c r="E26" s="111"/>
      <c r="F26" s="111"/>
      <c r="G26" s="120"/>
      <c r="H26" s="120"/>
      <c r="I26" s="114"/>
      <c r="L26" s="5"/>
      <c r="M26" s="68"/>
      <c r="N26" s="68"/>
      <c r="O26" s="68"/>
      <c r="P26" s="29"/>
      <c r="Q26" s="68"/>
      <c r="R26" s="68"/>
      <c r="S26" s="70"/>
    </row>
    <row r="27" spans="2:19" x14ac:dyDescent="0.25">
      <c r="B27" s="7" t="s">
        <v>109</v>
      </c>
      <c r="C27" s="104" t="s">
        <v>112</v>
      </c>
      <c r="D27" s="104" t="s">
        <v>113</v>
      </c>
      <c r="E27" s="111"/>
      <c r="F27" s="111"/>
      <c r="G27" s="120"/>
      <c r="H27" s="120"/>
      <c r="I27" s="114"/>
      <c r="L27" s="5"/>
      <c r="M27" s="68"/>
      <c r="N27" s="68"/>
      <c r="O27" s="68"/>
      <c r="P27" s="29"/>
      <c r="Q27" s="68"/>
      <c r="R27" s="68"/>
      <c r="S27" s="70"/>
    </row>
    <row r="28" spans="2:19" x14ac:dyDescent="0.25">
      <c r="B28" s="106" t="s">
        <v>111</v>
      </c>
      <c r="C28" s="94" t="s">
        <v>114</v>
      </c>
      <c r="D28" s="94" t="s">
        <v>119</v>
      </c>
      <c r="L28" s="5"/>
      <c r="M28" s="68"/>
      <c r="N28" s="68"/>
      <c r="O28" s="68"/>
      <c r="P28" s="29"/>
      <c r="Q28" s="68"/>
      <c r="R28" s="68"/>
      <c r="S28" s="70"/>
    </row>
    <row r="29" spans="2:19" ht="15" customHeight="1" x14ac:dyDescent="0.25">
      <c r="B29" s="2" t="s">
        <v>252</v>
      </c>
      <c r="C29" s="94" t="s">
        <v>135</v>
      </c>
      <c r="D29" s="94" t="s">
        <v>147</v>
      </c>
      <c r="L29" s="5"/>
      <c r="M29" s="68"/>
      <c r="N29" s="68"/>
      <c r="O29" s="68"/>
      <c r="P29" s="29"/>
      <c r="Q29" s="68"/>
      <c r="R29" s="68"/>
      <c r="S29" s="70"/>
    </row>
    <row r="30" spans="2:19" ht="15" customHeight="1" x14ac:dyDescent="0.25">
      <c r="B30" s="2" t="s">
        <v>260</v>
      </c>
      <c r="C30" s="94" t="s">
        <v>135</v>
      </c>
      <c r="D30" s="94" t="s">
        <v>147</v>
      </c>
      <c r="L30" s="5"/>
      <c r="M30" s="68"/>
      <c r="N30" s="68"/>
      <c r="O30" s="68"/>
      <c r="P30" s="29"/>
      <c r="Q30" s="68"/>
      <c r="R30" s="68"/>
      <c r="S30" s="70"/>
    </row>
    <row r="31" spans="2:19" ht="15" customHeight="1" x14ac:dyDescent="0.25">
      <c r="B31" s="2" t="s">
        <v>314</v>
      </c>
      <c r="C31" s="94" t="s">
        <v>135</v>
      </c>
      <c r="D31" s="94" t="s">
        <v>147</v>
      </c>
      <c r="L31" s="5"/>
      <c r="M31" s="68"/>
      <c r="N31" s="68"/>
      <c r="O31" s="68"/>
      <c r="P31" s="29"/>
      <c r="Q31" s="68"/>
      <c r="R31" s="68"/>
      <c r="S31" s="70"/>
    </row>
    <row r="32" spans="2:19" ht="15" customHeight="1" x14ac:dyDescent="0.25">
      <c r="B32" s="2" t="s">
        <v>318</v>
      </c>
      <c r="C32" s="94" t="s">
        <v>135</v>
      </c>
      <c r="D32" s="94" t="s">
        <v>147</v>
      </c>
      <c r="L32" s="5"/>
      <c r="M32" s="68"/>
      <c r="N32" s="68"/>
      <c r="O32" s="68"/>
      <c r="P32" s="29"/>
      <c r="Q32" s="68"/>
      <c r="R32" s="68"/>
      <c r="S32" s="70"/>
    </row>
    <row r="33" spans="2:20" ht="15" customHeight="1" x14ac:dyDescent="0.25">
      <c r="B33" s="2" t="s">
        <v>321</v>
      </c>
      <c r="C33" s="94" t="s">
        <v>135</v>
      </c>
      <c r="D33" s="94" t="s">
        <v>147</v>
      </c>
      <c r="L33" s="5"/>
      <c r="M33" s="68"/>
      <c r="N33" s="68"/>
      <c r="O33" s="68"/>
      <c r="P33" s="29"/>
      <c r="Q33" s="68"/>
      <c r="R33" s="68"/>
      <c r="S33" s="70"/>
    </row>
    <row r="34" spans="2:20" ht="15" customHeight="1" x14ac:dyDescent="0.25">
      <c r="B34" s="2" t="s">
        <v>326</v>
      </c>
      <c r="C34" s="94" t="s">
        <v>135</v>
      </c>
      <c r="D34" s="94" t="s">
        <v>147</v>
      </c>
      <c r="L34" s="5"/>
      <c r="M34" s="68"/>
      <c r="N34" s="68"/>
      <c r="O34" s="68"/>
      <c r="P34" s="29"/>
      <c r="Q34" s="68"/>
      <c r="R34" s="68"/>
      <c r="S34" s="70"/>
    </row>
    <row r="35" spans="2:20" ht="15" customHeight="1" x14ac:dyDescent="0.25">
      <c r="C35" s="94"/>
      <c r="D35" s="94"/>
      <c r="L35" s="5"/>
      <c r="M35" s="68"/>
      <c r="N35" s="68"/>
      <c r="O35" s="68"/>
      <c r="P35" s="29"/>
      <c r="Q35" s="68"/>
      <c r="R35" s="68"/>
      <c r="S35" s="70"/>
    </row>
    <row r="36" spans="2:20" x14ac:dyDescent="0.25">
      <c r="B36" s="347" t="s">
        <v>235</v>
      </c>
      <c r="C36" s="333"/>
      <c r="D36" s="333"/>
      <c r="E36" s="333"/>
      <c r="F36" s="333"/>
      <c r="G36" s="333"/>
      <c r="H36" s="333"/>
      <c r="L36" s="5"/>
      <c r="M36" s="68"/>
      <c r="N36" s="68"/>
      <c r="O36" s="68"/>
      <c r="P36" s="29"/>
      <c r="Q36" s="68"/>
      <c r="R36" s="68"/>
      <c r="S36" s="70"/>
    </row>
    <row r="37" spans="2:20" x14ac:dyDescent="0.25">
      <c r="B37" s="249" t="s">
        <v>236</v>
      </c>
      <c r="C37" s="94"/>
      <c r="D37" s="94"/>
      <c r="L37" s="5"/>
      <c r="M37" s="68"/>
      <c r="N37" s="68"/>
      <c r="O37" s="68"/>
      <c r="P37" s="29"/>
      <c r="Q37" s="68"/>
      <c r="R37" s="68"/>
      <c r="S37" s="70"/>
    </row>
    <row r="38" spans="2:20" ht="15" customHeight="1" x14ac:dyDescent="0.25">
      <c r="B38" s="10"/>
      <c r="C38" s="96"/>
      <c r="D38" s="96"/>
      <c r="E38" s="10"/>
      <c r="F38" s="10"/>
      <c r="G38" s="10"/>
      <c r="H38" s="10"/>
      <c r="I38" s="10"/>
      <c r="J38" s="10"/>
      <c r="K38" s="10"/>
      <c r="L38" s="10"/>
      <c r="M38" s="10"/>
      <c r="N38" s="10"/>
      <c r="O38" s="10"/>
      <c r="P38" s="10"/>
      <c r="Q38" s="10"/>
      <c r="R38" s="10"/>
      <c r="S38" s="28"/>
    </row>
    <row r="39" spans="2:20" ht="15" customHeight="1" x14ac:dyDescent="0.25">
      <c r="Q39" s="59" t="s">
        <v>90</v>
      </c>
      <c r="R39" s="50"/>
      <c r="S39" s="169"/>
    </row>
    <row r="40" spans="2:20" ht="15" customHeight="1" x14ac:dyDescent="0.25">
      <c r="B40" s="17" t="s">
        <v>39</v>
      </c>
      <c r="C40" s="98" t="s">
        <v>2</v>
      </c>
      <c r="D40" s="98"/>
      <c r="E40" s="98" t="s">
        <v>34</v>
      </c>
      <c r="F40" s="98" t="s">
        <v>35</v>
      </c>
      <c r="G40" s="123"/>
      <c r="H40" s="123"/>
      <c r="I40" s="117"/>
      <c r="J40" s="98"/>
      <c r="K40" s="98"/>
      <c r="L40" s="98" t="s">
        <v>36</v>
      </c>
      <c r="M40" s="98" t="s">
        <v>37</v>
      </c>
      <c r="N40" s="47"/>
      <c r="O40" s="47"/>
      <c r="P40" s="47"/>
      <c r="Q40" s="54" t="s">
        <v>88</v>
      </c>
      <c r="R40" s="52"/>
      <c r="S40" s="53"/>
      <c r="T40" s="51"/>
    </row>
    <row r="41" spans="2:20" x14ac:dyDescent="0.25">
      <c r="B41" s="65"/>
      <c r="C41" s="9"/>
      <c r="D41" s="9"/>
      <c r="E41" s="9"/>
      <c r="F41" s="9"/>
      <c r="G41" s="9"/>
      <c r="H41" s="9"/>
      <c r="I41" s="9"/>
      <c r="J41" s="9"/>
      <c r="K41" s="9"/>
      <c r="L41" s="9"/>
      <c r="M41" s="9"/>
      <c r="N41" s="45"/>
      <c r="O41" s="45"/>
      <c r="P41" s="45"/>
      <c r="Q41" s="59"/>
      <c r="R41" s="50"/>
      <c r="S41" s="50"/>
      <c r="T41" s="51"/>
    </row>
    <row r="42" spans="2:20" x14ac:dyDescent="0.25">
      <c r="B42" s="65"/>
      <c r="C42" s="9"/>
      <c r="D42" s="9"/>
      <c r="E42" s="9"/>
      <c r="F42" s="9"/>
      <c r="G42" s="9"/>
      <c r="H42" s="9"/>
      <c r="I42" s="9"/>
      <c r="J42" s="9"/>
      <c r="K42" s="9"/>
      <c r="L42" s="9"/>
      <c r="M42" s="9"/>
      <c r="N42" s="45"/>
      <c r="O42" s="45"/>
      <c r="P42" s="45"/>
      <c r="R42" s="51"/>
      <c r="S42" s="51"/>
      <c r="T42" s="51"/>
    </row>
    <row r="43" spans="2:20" x14ac:dyDescent="0.25">
      <c r="C43" s="13"/>
      <c r="D43" s="13"/>
      <c r="E43" s="14"/>
      <c r="F43" s="71"/>
      <c r="G43" s="71"/>
      <c r="H43" s="71"/>
      <c r="I43" s="71"/>
      <c r="J43" s="71"/>
      <c r="K43" s="71"/>
      <c r="L43" s="33"/>
      <c r="M43" s="31"/>
      <c r="Q43" s="51"/>
      <c r="R43" s="51"/>
      <c r="S43" s="51"/>
      <c r="T43" s="51"/>
    </row>
    <row r="44" spans="2:20" x14ac:dyDescent="0.25">
      <c r="C44" s="13"/>
      <c r="D44" s="13"/>
      <c r="E44" s="14"/>
      <c r="F44" s="71"/>
      <c r="G44" s="71"/>
      <c r="H44" s="71"/>
      <c r="I44" s="71"/>
      <c r="J44" s="71"/>
      <c r="K44" s="71"/>
      <c r="L44" s="33"/>
      <c r="M44" s="31"/>
      <c r="Q44" s="51"/>
      <c r="R44" s="51"/>
      <c r="S44" s="51"/>
      <c r="T44" s="51"/>
    </row>
    <row r="45" spans="2:20" x14ac:dyDescent="0.25">
      <c r="C45" s="13"/>
      <c r="D45" s="13"/>
      <c r="E45" s="14"/>
      <c r="F45" s="71"/>
      <c r="G45" s="71"/>
      <c r="H45" s="71"/>
      <c r="I45" s="71"/>
      <c r="J45" s="71"/>
      <c r="K45" s="71"/>
      <c r="L45" s="33"/>
      <c r="M45" s="31"/>
      <c r="Q45" s="51"/>
      <c r="R45" s="51"/>
      <c r="S45" s="51"/>
      <c r="T45" s="51"/>
    </row>
    <row r="46" spans="2:20" x14ac:dyDescent="0.25">
      <c r="C46" s="13"/>
      <c r="D46" s="13"/>
      <c r="E46" s="14"/>
      <c r="F46" s="71"/>
      <c r="G46" s="71"/>
      <c r="H46" s="71"/>
      <c r="I46" s="71"/>
      <c r="J46" s="71"/>
      <c r="K46" s="71"/>
      <c r="L46" s="33"/>
      <c r="M46" s="31"/>
      <c r="T46" s="51"/>
    </row>
    <row r="47" spans="2:20" x14ac:dyDescent="0.25">
      <c r="B47" s="12"/>
      <c r="C47" s="13"/>
      <c r="D47" s="13"/>
      <c r="E47" s="14"/>
      <c r="F47" s="15"/>
      <c r="G47" s="15"/>
      <c r="H47" s="15"/>
      <c r="I47" s="15"/>
      <c r="J47" s="15"/>
      <c r="K47" s="15"/>
      <c r="L47" s="16"/>
      <c r="M47" s="31"/>
      <c r="N47" s="18"/>
      <c r="O47" s="18"/>
      <c r="P47" s="18"/>
    </row>
    <row r="50" spans="17:19" x14ac:dyDescent="0.25">
      <c r="Q50" s="325" t="s">
        <v>343</v>
      </c>
      <c r="R50" s="325"/>
      <c r="S50" s="327">
        <f>S15</f>
        <v>10463.790000000001</v>
      </c>
    </row>
  </sheetData>
  <mergeCells count="7">
    <mergeCell ref="B36:H36"/>
    <mergeCell ref="B24:F24"/>
    <mergeCell ref="Q2:S2"/>
    <mergeCell ref="Q1:S1"/>
    <mergeCell ref="B19:F19"/>
    <mergeCell ref="B21:F21"/>
    <mergeCell ref="B23:F23"/>
  </mergeCells>
  <hyperlinks>
    <hyperlink ref="B24" r:id="rId1"/>
  </hyperlinks>
  <printOptions horizontalCentered="1" gridLines="1"/>
  <pageMargins left="0" right="0" top="0.75" bottom="0.75" header="0.3" footer="0.3"/>
  <pageSetup scale="54" orientation="landscape" horizontalDpi="1200" verticalDpi="1200"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9"/>
  <sheetViews>
    <sheetView topLeftCell="C21" zoomScale="90" zoomScaleNormal="90" workbookViewId="0">
      <selection activeCell="S52" sqref="S52"/>
    </sheetView>
  </sheetViews>
  <sheetFormatPr defaultColWidth="9.140625" defaultRowHeight="15" x14ac:dyDescent="0.25"/>
  <cols>
    <col min="1" max="1" width="9.140625" style="2" hidden="1" customWidth="1"/>
    <col min="2" max="2" width="58.7109375" style="2" customWidth="1"/>
    <col min="3" max="3" width="26.7109375" style="2" customWidth="1"/>
    <col min="4" max="4" width="13.7109375" style="2" customWidth="1"/>
    <col min="5" max="5" width="17.85546875" style="2" customWidth="1"/>
    <col min="6" max="6" width="21.7109375" style="2" bestFit="1" customWidth="1"/>
    <col min="7" max="7" width="10.28515625" style="2" customWidth="1"/>
    <col min="8" max="8" width="12.85546875" style="2" customWidth="1"/>
    <col min="9" max="9" width="13.42578125" style="2" customWidth="1"/>
    <col min="10" max="10" width="15.7109375" style="2" customWidth="1"/>
    <col min="11" max="11" width="8.85546875" style="2" customWidth="1"/>
    <col min="12" max="12" width="18"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6.7109375" style="2" customWidth="1"/>
    <col min="20" max="16384" width="9.140625" style="2"/>
  </cols>
  <sheetData>
    <row r="1" spans="1:20" ht="18" customHeight="1" x14ac:dyDescent="0.25">
      <c r="A1" s="2" t="s">
        <v>342</v>
      </c>
      <c r="B1" s="1" t="s">
        <v>221</v>
      </c>
      <c r="Q1" s="335" t="s">
        <v>230</v>
      </c>
      <c r="R1" s="335"/>
      <c r="S1" s="335"/>
    </row>
    <row r="2" spans="1:20" ht="18" customHeight="1" x14ac:dyDescent="0.25">
      <c r="B2" s="90" t="s">
        <v>148</v>
      </c>
      <c r="C2" s="187">
        <v>44377</v>
      </c>
      <c r="M2" s="73"/>
      <c r="N2" s="73"/>
      <c r="P2" s="29"/>
      <c r="Q2" s="334" t="s">
        <v>338</v>
      </c>
      <c r="R2" s="334"/>
      <c r="S2" s="334"/>
    </row>
    <row r="3" spans="1:20" ht="18" customHeight="1" thickBot="1" x14ac:dyDescent="0.3">
      <c r="A3" s="2" t="s">
        <v>16</v>
      </c>
      <c r="B3" s="44" t="s">
        <v>62</v>
      </c>
      <c r="C3" s="8"/>
      <c r="D3" s="8"/>
      <c r="E3" s="8"/>
      <c r="P3" s="29"/>
      <c r="Q3" s="45"/>
      <c r="R3" s="30"/>
    </row>
    <row r="4" spans="1:20" ht="18.75" customHeight="1" x14ac:dyDescent="0.25">
      <c r="B4" s="8" t="s">
        <v>174</v>
      </c>
      <c r="M4" s="87" t="s">
        <v>28</v>
      </c>
      <c r="N4" s="87" t="s">
        <v>28</v>
      </c>
      <c r="O4" s="87" t="s">
        <v>28</v>
      </c>
      <c r="P4" s="9"/>
      <c r="Q4" s="91" t="s">
        <v>29</v>
      </c>
      <c r="R4" s="91" t="s">
        <v>31</v>
      </c>
      <c r="S4" s="91" t="s">
        <v>23</v>
      </c>
      <c r="T4" s="7"/>
    </row>
    <row r="5" spans="1:20" ht="15.75" thickBot="1" x14ac:dyDescent="0.3">
      <c r="G5" s="188" t="s">
        <v>231</v>
      </c>
      <c r="H5" s="188" t="s">
        <v>231</v>
      </c>
      <c r="M5" s="88" t="s">
        <v>27</v>
      </c>
      <c r="N5" s="88" t="s">
        <v>26</v>
      </c>
      <c r="O5" s="88" t="s">
        <v>25</v>
      </c>
      <c r="P5" s="9"/>
      <c r="Q5" s="92" t="s">
        <v>30</v>
      </c>
      <c r="R5" s="92" t="s">
        <v>30</v>
      </c>
      <c r="S5" s="92" t="s">
        <v>30</v>
      </c>
      <c r="T5" s="7"/>
    </row>
    <row r="6" spans="1:20" ht="85.5" customHeight="1" thickBot="1" x14ac:dyDescent="0.3">
      <c r="B6" s="86" t="s">
        <v>1</v>
      </c>
      <c r="C6" s="86" t="s">
        <v>127</v>
      </c>
      <c r="D6" s="86" t="s">
        <v>107</v>
      </c>
      <c r="E6" s="86" t="s">
        <v>3</v>
      </c>
      <c r="F6" s="86" t="s">
        <v>4</v>
      </c>
      <c r="G6" s="110" t="s">
        <v>136</v>
      </c>
      <c r="H6" s="110" t="s">
        <v>137</v>
      </c>
      <c r="I6" s="110" t="s">
        <v>133</v>
      </c>
      <c r="J6" s="110" t="s">
        <v>134</v>
      </c>
      <c r="K6" s="110" t="s">
        <v>121</v>
      </c>
      <c r="L6" s="85" t="s">
        <v>5</v>
      </c>
      <c r="M6" s="89" t="s">
        <v>6</v>
      </c>
      <c r="N6" s="89" t="s">
        <v>6</v>
      </c>
      <c r="O6" s="89" t="s">
        <v>6</v>
      </c>
      <c r="P6" s="9"/>
      <c r="Q6" s="93"/>
      <c r="R6" s="99" t="s">
        <v>32</v>
      </c>
      <c r="S6" s="100" t="s">
        <v>33</v>
      </c>
    </row>
    <row r="7" spans="1:20" ht="46.5" customHeight="1" x14ac:dyDescent="0.25">
      <c r="B7" s="2" t="s">
        <v>8</v>
      </c>
      <c r="C7" s="94" t="s">
        <v>106</v>
      </c>
      <c r="D7" s="94" t="s">
        <v>246</v>
      </c>
      <c r="E7" s="2" t="s">
        <v>232</v>
      </c>
      <c r="F7" s="2" t="s">
        <v>7</v>
      </c>
      <c r="G7" s="191">
        <v>2.9600000000000001E-2</v>
      </c>
      <c r="H7" s="191">
        <v>0.1744</v>
      </c>
      <c r="I7" s="192">
        <v>44377</v>
      </c>
      <c r="J7" s="192">
        <v>44378</v>
      </c>
      <c r="K7" s="192">
        <v>44013</v>
      </c>
      <c r="L7" s="193" t="s">
        <v>234</v>
      </c>
      <c r="M7" s="69">
        <v>42782.82</v>
      </c>
      <c r="N7" s="69">
        <f>42831.32-M7</f>
        <v>48.5</v>
      </c>
      <c r="O7" s="69">
        <f>M7+N7</f>
        <v>42831.32</v>
      </c>
      <c r="P7" s="29"/>
      <c r="Q7" s="69">
        <f>37132.92+2099.18</f>
        <v>39232.1</v>
      </c>
      <c r="R7" s="69"/>
      <c r="S7" s="70">
        <f>Q7+R7</f>
        <v>39232.1</v>
      </c>
    </row>
    <row r="8" spans="1:20" ht="36" customHeight="1" x14ac:dyDescent="0.25">
      <c r="B8" s="2" t="s">
        <v>128</v>
      </c>
      <c r="C8" s="231" t="s">
        <v>122</v>
      </c>
      <c r="D8" s="95" t="s">
        <v>248</v>
      </c>
      <c r="E8" s="2" t="s">
        <v>233</v>
      </c>
      <c r="F8" s="2" t="s">
        <v>7</v>
      </c>
      <c r="G8" s="191">
        <f>G7</f>
        <v>2.9600000000000001E-2</v>
      </c>
      <c r="H8" s="191">
        <f>H7</f>
        <v>0.1744</v>
      </c>
      <c r="I8" s="192">
        <f>I7</f>
        <v>44377</v>
      </c>
      <c r="J8" s="192">
        <f>J7</f>
        <v>44378</v>
      </c>
      <c r="K8" s="192">
        <v>43282</v>
      </c>
      <c r="L8" s="193" t="str">
        <f>L7</f>
        <v>07/01/20 - 06/30/21</v>
      </c>
      <c r="M8" s="69">
        <v>11958.62</v>
      </c>
      <c r="N8" s="69"/>
      <c r="O8" s="69">
        <f>M8+N8</f>
        <v>11958.62</v>
      </c>
      <c r="P8" s="29"/>
      <c r="Q8" s="69">
        <v>11958.62</v>
      </c>
      <c r="R8" s="69"/>
      <c r="S8" s="70">
        <f>Q8+R8</f>
        <v>11958.62</v>
      </c>
    </row>
    <row r="9" spans="1:20" ht="36" customHeight="1" x14ac:dyDescent="0.25">
      <c r="B9" s="2" t="s">
        <v>241</v>
      </c>
      <c r="C9" s="243" t="s">
        <v>242</v>
      </c>
      <c r="D9" s="95" t="s">
        <v>243</v>
      </c>
      <c r="E9" s="2" t="s">
        <v>244</v>
      </c>
      <c r="F9" s="2" t="s">
        <v>7</v>
      </c>
      <c r="G9" s="191">
        <v>2.9600000000000001E-2</v>
      </c>
      <c r="H9" s="191">
        <v>0.1744</v>
      </c>
      <c r="I9" s="192">
        <v>44834</v>
      </c>
      <c r="J9" s="192">
        <v>44849</v>
      </c>
      <c r="K9" s="192">
        <v>43614</v>
      </c>
      <c r="L9" s="193" t="s">
        <v>311</v>
      </c>
      <c r="M9" s="69">
        <v>76289.990000000005</v>
      </c>
      <c r="N9" s="69"/>
      <c r="O9" s="69">
        <f>M9+N9</f>
        <v>76289.990000000005</v>
      </c>
      <c r="P9" s="29"/>
      <c r="Q9" s="69"/>
      <c r="R9" s="69"/>
      <c r="S9" s="70">
        <f>Q9+R9</f>
        <v>0</v>
      </c>
    </row>
    <row r="10" spans="1:20" ht="28.5" customHeight="1" x14ac:dyDescent="0.25">
      <c r="B10" s="2" t="s">
        <v>283</v>
      </c>
      <c r="C10" s="243" t="s">
        <v>264</v>
      </c>
      <c r="D10" s="95" t="s">
        <v>254</v>
      </c>
      <c r="E10" s="2" t="s">
        <v>284</v>
      </c>
      <c r="F10" s="2" t="s">
        <v>7</v>
      </c>
      <c r="G10" s="191">
        <f t="shared" ref="G10:H10" si="0">+G9</f>
        <v>2.9600000000000001E-2</v>
      </c>
      <c r="H10" s="191">
        <f t="shared" si="0"/>
        <v>0.1744</v>
      </c>
      <c r="I10" s="192">
        <v>44377</v>
      </c>
      <c r="J10" s="192">
        <v>44392</v>
      </c>
      <c r="K10" s="192">
        <v>43613</v>
      </c>
      <c r="L10" s="193" t="s">
        <v>234</v>
      </c>
      <c r="M10" s="81">
        <v>7302.48</v>
      </c>
      <c r="N10" s="69"/>
      <c r="O10" s="69">
        <f>M10+N10</f>
        <v>7302.48</v>
      </c>
      <c r="P10" s="69"/>
      <c r="Q10" s="69"/>
      <c r="R10" s="69"/>
      <c r="S10" s="70">
        <f>Q10+R10</f>
        <v>0</v>
      </c>
    </row>
    <row r="11" spans="1:20" ht="28.5" customHeight="1" x14ac:dyDescent="0.25">
      <c r="B11" s="2" t="s">
        <v>318</v>
      </c>
      <c r="C11" s="243" t="s">
        <v>242</v>
      </c>
      <c r="D11" s="95" t="s">
        <v>243</v>
      </c>
      <c r="E11" s="2" t="s">
        <v>319</v>
      </c>
      <c r="F11" s="2" t="s">
        <v>7</v>
      </c>
      <c r="G11" s="191">
        <v>2.9600000000000001E-2</v>
      </c>
      <c r="H11" s="191">
        <v>0.1744</v>
      </c>
      <c r="I11" s="192">
        <v>44561</v>
      </c>
      <c r="J11" s="192">
        <v>44576</v>
      </c>
      <c r="K11" s="192">
        <v>43980</v>
      </c>
      <c r="L11" s="193" t="s">
        <v>320</v>
      </c>
      <c r="M11" s="81">
        <v>3000</v>
      </c>
      <c r="N11" s="69"/>
      <c r="O11" s="69">
        <f t="shared" ref="O11:O13" si="1">M11+N11</f>
        <v>3000</v>
      </c>
      <c r="P11" s="68"/>
      <c r="Q11" s="69"/>
      <c r="R11" s="69"/>
      <c r="S11" s="70">
        <f t="shared" ref="S11:S13" si="2">Q11+R11</f>
        <v>0</v>
      </c>
    </row>
    <row r="12" spans="1:20" ht="28.5" customHeight="1" x14ac:dyDescent="0.25">
      <c r="B12" s="2" t="s">
        <v>321</v>
      </c>
      <c r="C12" s="243" t="s">
        <v>264</v>
      </c>
      <c r="D12" s="95" t="s">
        <v>254</v>
      </c>
      <c r="E12" s="2" t="s">
        <v>322</v>
      </c>
      <c r="F12" s="2" t="s">
        <v>7</v>
      </c>
      <c r="G12" s="191">
        <v>2.9600000000000001E-2</v>
      </c>
      <c r="H12" s="191">
        <v>0.1744</v>
      </c>
      <c r="I12" s="192">
        <v>44742</v>
      </c>
      <c r="J12" s="192">
        <v>44757</v>
      </c>
      <c r="K12" s="192">
        <v>43979</v>
      </c>
      <c r="L12" s="193" t="s">
        <v>323</v>
      </c>
      <c r="M12" s="81">
        <v>1027</v>
      </c>
      <c r="N12" s="69"/>
      <c r="O12" s="69">
        <f t="shared" si="1"/>
        <v>1027</v>
      </c>
      <c r="P12" s="68"/>
      <c r="Q12" s="69"/>
      <c r="R12" s="69"/>
      <c r="S12" s="70">
        <f t="shared" si="2"/>
        <v>0</v>
      </c>
    </row>
    <row r="13" spans="1:20" ht="28.5" customHeight="1" x14ac:dyDescent="0.25">
      <c r="B13" s="2" t="s">
        <v>327</v>
      </c>
      <c r="C13" s="243" t="s">
        <v>242</v>
      </c>
      <c r="D13" s="95" t="s">
        <v>328</v>
      </c>
      <c r="E13" s="2" t="s">
        <v>329</v>
      </c>
      <c r="F13" s="2" t="s">
        <v>7</v>
      </c>
      <c r="G13" s="191">
        <v>2.9600000000000001E-2</v>
      </c>
      <c r="H13" s="191">
        <v>0.1744</v>
      </c>
      <c r="I13" s="192">
        <v>44440</v>
      </c>
      <c r="J13" s="192">
        <v>44440</v>
      </c>
      <c r="K13" s="192">
        <v>44201</v>
      </c>
      <c r="L13" s="193" t="s">
        <v>330</v>
      </c>
      <c r="M13" s="81">
        <v>128189.59</v>
      </c>
      <c r="N13" s="69"/>
      <c r="O13" s="69">
        <f t="shared" si="1"/>
        <v>128189.59</v>
      </c>
      <c r="P13" s="68"/>
      <c r="Q13" s="69"/>
      <c r="R13" s="69"/>
      <c r="S13" s="70">
        <f t="shared" si="2"/>
        <v>0</v>
      </c>
    </row>
    <row r="14" spans="1:20" x14ac:dyDescent="0.25">
      <c r="C14" s="94"/>
      <c r="D14" s="94"/>
      <c r="E14" s="77"/>
      <c r="G14" s="127"/>
      <c r="H14" s="127"/>
      <c r="I14" s="119"/>
      <c r="J14" s="119"/>
      <c r="K14" s="119"/>
      <c r="L14" s="95"/>
      <c r="M14" s="25"/>
      <c r="N14" s="25"/>
      <c r="O14" s="25"/>
      <c r="P14" s="29"/>
      <c r="Q14" s="25"/>
      <c r="R14" s="25"/>
      <c r="S14" s="26"/>
    </row>
    <row r="15" spans="1:20" ht="22.5" customHeight="1" x14ac:dyDescent="0.25">
      <c r="C15" s="94"/>
      <c r="D15" s="94"/>
      <c r="I15" s="119"/>
      <c r="J15" s="119"/>
      <c r="K15" s="119"/>
      <c r="L15" s="5" t="s">
        <v>38</v>
      </c>
      <c r="M15" s="68">
        <f>SUM(M7:M14)</f>
        <v>270550.5</v>
      </c>
      <c r="N15" s="68">
        <f>SUM(N8:N14)</f>
        <v>0</v>
      </c>
      <c r="O15" s="68">
        <f>SUM(O7:O14)</f>
        <v>270599</v>
      </c>
      <c r="P15" s="68"/>
      <c r="Q15" s="68">
        <f>SUM(Q7:Q14)</f>
        <v>51190.720000000001</v>
      </c>
      <c r="R15" s="68">
        <f>SUM(R7:R14)</f>
        <v>0</v>
      </c>
      <c r="S15" s="23">
        <f>SUM(S7:S14)</f>
        <v>51190.720000000001</v>
      </c>
    </row>
    <row r="16" spans="1:20" x14ac:dyDescent="0.25">
      <c r="C16" s="94"/>
      <c r="D16" s="94"/>
      <c r="I16" s="119"/>
      <c r="J16" s="119"/>
      <c r="K16" s="119"/>
      <c r="L16" s="5"/>
      <c r="M16" s="68"/>
      <c r="N16" s="68"/>
      <c r="O16" s="68"/>
      <c r="Q16" s="68"/>
      <c r="R16" s="68"/>
      <c r="S16" s="70"/>
    </row>
    <row r="17" spans="2:19" x14ac:dyDescent="0.25">
      <c r="B17" s="8" t="s">
        <v>125</v>
      </c>
      <c r="C17" s="94"/>
      <c r="D17" s="94"/>
      <c r="L17" s="5"/>
      <c r="M17" s="68"/>
      <c r="N17" s="68"/>
      <c r="O17" s="68"/>
      <c r="Q17" s="68"/>
      <c r="R17" s="68"/>
      <c r="S17" s="70"/>
    </row>
    <row r="18" spans="2:19" ht="28.5" customHeight="1" x14ac:dyDescent="0.25">
      <c r="B18" s="338" t="s">
        <v>126</v>
      </c>
      <c r="C18" s="338"/>
      <c r="D18" s="338"/>
      <c r="E18" s="338"/>
      <c r="F18" s="338"/>
      <c r="G18" s="120"/>
      <c r="H18" s="120"/>
      <c r="I18" s="114"/>
      <c r="L18" s="5"/>
      <c r="M18" s="68"/>
      <c r="N18" s="68"/>
      <c r="O18" s="68"/>
      <c r="Q18" s="68"/>
      <c r="R18" s="68"/>
      <c r="S18" s="70"/>
    </row>
    <row r="19" spans="2:19" x14ac:dyDescent="0.25">
      <c r="C19" s="94"/>
      <c r="D19" s="94"/>
      <c r="L19" s="5"/>
      <c r="M19" s="68"/>
      <c r="N19" s="68"/>
      <c r="O19" s="68"/>
      <c r="Q19" s="68"/>
      <c r="R19" s="68"/>
      <c r="S19" s="70"/>
    </row>
    <row r="20" spans="2:19" ht="49.5" customHeight="1" x14ac:dyDescent="0.25">
      <c r="B20" s="338" t="s">
        <v>129</v>
      </c>
      <c r="C20" s="338"/>
      <c r="D20" s="338"/>
      <c r="E20" s="338"/>
      <c r="F20" s="338"/>
      <c r="G20" s="120"/>
      <c r="H20" s="120"/>
      <c r="I20" s="114"/>
      <c r="L20" s="5"/>
      <c r="M20" s="68"/>
      <c r="N20" s="68"/>
      <c r="O20" s="68"/>
      <c r="Q20" s="68"/>
      <c r="R20" s="68"/>
      <c r="S20" s="70"/>
    </row>
    <row r="21" spans="2:19" x14ac:dyDescent="0.25">
      <c r="B21" s="198"/>
      <c r="C21" s="198"/>
      <c r="D21" s="198"/>
      <c r="E21" s="198"/>
      <c r="F21" s="198"/>
      <c r="G21" s="198"/>
      <c r="H21" s="198"/>
      <c r="I21" s="198"/>
      <c r="L21" s="5"/>
      <c r="M21" s="68"/>
      <c r="N21" s="68"/>
      <c r="O21" s="68"/>
      <c r="Q21" s="68"/>
      <c r="R21" s="68"/>
      <c r="S21" s="70"/>
    </row>
    <row r="22" spans="2:19" ht="33.75" customHeight="1" x14ac:dyDescent="0.25">
      <c r="B22" s="338" t="s">
        <v>160</v>
      </c>
      <c r="C22" s="338"/>
      <c r="D22" s="338"/>
      <c r="E22" s="338"/>
      <c r="F22" s="338"/>
      <c r="G22" s="198"/>
      <c r="H22" s="198"/>
      <c r="I22" s="198"/>
      <c r="L22" s="5"/>
      <c r="M22" s="68"/>
      <c r="N22" s="68"/>
      <c r="O22" s="68"/>
      <c r="Q22" s="68"/>
      <c r="R22" s="68"/>
      <c r="S22" s="70"/>
    </row>
    <row r="23" spans="2:19" ht="15" customHeight="1" x14ac:dyDescent="0.25">
      <c r="B23" s="346" t="s">
        <v>159</v>
      </c>
      <c r="C23" s="338"/>
      <c r="D23" s="338"/>
      <c r="E23" s="338"/>
      <c r="F23" s="338"/>
      <c r="G23" s="198"/>
      <c r="H23" s="198"/>
      <c r="I23" s="198"/>
      <c r="L23" s="5"/>
      <c r="M23" s="68"/>
      <c r="N23" s="68"/>
      <c r="O23" s="68"/>
      <c r="Q23" s="68"/>
      <c r="R23" s="68"/>
      <c r="S23" s="70"/>
    </row>
    <row r="24" spans="2:19" ht="15" customHeight="1" x14ac:dyDescent="0.25">
      <c r="B24" s="200"/>
      <c r="C24" s="200"/>
      <c r="D24" s="200"/>
      <c r="E24" s="200"/>
      <c r="F24" s="200"/>
      <c r="G24" s="200"/>
      <c r="H24" s="200"/>
      <c r="I24" s="200"/>
      <c r="L24" s="5"/>
      <c r="M24" s="68"/>
      <c r="N24" s="68"/>
      <c r="O24" s="68"/>
      <c r="Q24" s="68"/>
      <c r="R24" s="68"/>
      <c r="S24" s="70"/>
    </row>
    <row r="25" spans="2:19" x14ac:dyDescent="0.25">
      <c r="B25" s="111"/>
      <c r="C25" s="111"/>
      <c r="D25" s="111"/>
      <c r="E25" s="111"/>
      <c r="F25" s="111"/>
      <c r="G25" s="120"/>
      <c r="H25" s="120"/>
      <c r="I25" s="114"/>
      <c r="L25" s="5"/>
      <c r="M25" s="68"/>
      <c r="N25" s="68"/>
      <c r="O25" s="68"/>
      <c r="Q25" s="68"/>
      <c r="R25" s="68"/>
      <c r="S25" s="70"/>
    </row>
    <row r="26" spans="2:19" x14ac:dyDescent="0.25">
      <c r="B26" s="7" t="s">
        <v>109</v>
      </c>
      <c r="C26" s="104" t="s">
        <v>112</v>
      </c>
      <c r="D26" s="104" t="s">
        <v>113</v>
      </c>
      <c r="E26" s="111"/>
      <c r="F26" s="111"/>
      <c r="G26" s="120"/>
      <c r="H26" s="120"/>
      <c r="I26" s="114"/>
      <c r="L26" s="5"/>
      <c r="M26" s="68"/>
      <c r="N26" s="68"/>
      <c r="O26" s="68"/>
      <c r="Q26" s="68"/>
      <c r="R26" s="68"/>
      <c r="S26" s="70"/>
    </row>
    <row r="27" spans="2:19" x14ac:dyDescent="0.25">
      <c r="B27" s="2" t="s">
        <v>110</v>
      </c>
      <c r="C27" s="94" t="s">
        <v>116</v>
      </c>
      <c r="D27" s="94" t="s">
        <v>118</v>
      </c>
      <c r="E27" s="111"/>
      <c r="F27" s="111"/>
      <c r="G27" s="120"/>
      <c r="H27" s="120"/>
      <c r="I27" s="114"/>
      <c r="L27" s="5"/>
      <c r="M27" s="68"/>
      <c r="N27" s="68"/>
      <c r="O27" s="68"/>
      <c r="Q27" s="68"/>
      <c r="R27" s="68"/>
      <c r="S27" s="70"/>
    </row>
    <row r="28" spans="2:19" x14ac:dyDescent="0.25">
      <c r="B28" s="106" t="s">
        <v>111</v>
      </c>
      <c r="C28" s="94" t="s">
        <v>114</v>
      </c>
      <c r="D28" s="94" t="s">
        <v>119</v>
      </c>
      <c r="L28" s="5"/>
      <c r="M28" s="68"/>
      <c r="N28" s="68"/>
      <c r="O28" s="68"/>
      <c r="Q28" s="68"/>
      <c r="R28" s="68"/>
      <c r="S28" s="70"/>
    </row>
    <row r="29" spans="2:19" x14ac:dyDescent="0.25">
      <c r="B29" s="2" t="s">
        <v>252</v>
      </c>
      <c r="C29" s="94" t="s">
        <v>135</v>
      </c>
      <c r="D29" s="94" t="s">
        <v>147</v>
      </c>
      <c r="L29" s="5"/>
      <c r="M29" s="68"/>
      <c r="N29" s="68"/>
      <c r="O29" s="68"/>
      <c r="Q29" s="68"/>
      <c r="R29" s="68"/>
      <c r="S29" s="70"/>
    </row>
    <row r="30" spans="2:19" x14ac:dyDescent="0.25">
      <c r="B30" s="2" t="s">
        <v>260</v>
      </c>
      <c r="C30" s="94" t="s">
        <v>135</v>
      </c>
      <c r="D30" s="94" t="s">
        <v>147</v>
      </c>
      <c r="L30" s="5"/>
      <c r="M30" s="68"/>
      <c r="N30" s="68"/>
      <c r="O30" s="68"/>
      <c r="Q30" s="68"/>
      <c r="R30" s="68"/>
      <c r="S30" s="70"/>
    </row>
    <row r="31" spans="2:19" x14ac:dyDescent="0.25">
      <c r="B31" s="2" t="s">
        <v>318</v>
      </c>
      <c r="C31" s="94" t="s">
        <v>135</v>
      </c>
      <c r="D31" s="94" t="s">
        <v>147</v>
      </c>
      <c r="L31" s="5"/>
      <c r="M31" s="68"/>
      <c r="N31" s="68"/>
      <c r="O31" s="68"/>
      <c r="Q31" s="68"/>
      <c r="R31" s="68"/>
      <c r="S31" s="70"/>
    </row>
    <row r="32" spans="2:19" x14ac:dyDescent="0.25">
      <c r="B32" s="2" t="s">
        <v>321</v>
      </c>
      <c r="C32" s="94" t="s">
        <v>135</v>
      </c>
      <c r="D32" s="94" t="s">
        <v>147</v>
      </c>
      <c r="L32" s="5"/>
      <c r="M32" s="68"/>
      <c r="N32" s="68"/>
      <c r="O32" s="68"/>
      <c r="Q32" s="68"/>
      <c r="R32" s="68"/>
      <c r="S32" s="70"/>
    </row>
    <row r="33" spans="2:20" x14ac:dyDescent="0.25">
      <c r="B33" s="2" t="s">
        <v>326</v>
      </c>
      <c r="C33" s="94" t="s">
        <v>135</v>
      </c>
      <c r="D33" s="94" t="s">
        <v>147</v>
      </c>
      <c r="L33" s="5"/>
      <c r="M33" s="68"/>
      <c r="N33" s="68"/>
      <c r="O33" s="68"/>
      <c r="Q33" s="68"/>
      <c r="R33" s="68"/>
      <c r="S33" s="70"/>
    </row>
    <row r="34" spans="2:20" x14ac:dyDescent="0.25">
      <c r="C34" s="94"/>
      <c r="D34" s="94"/>
      <c r="L34" s="5"/>
      <c r="M34" s="68"/>
      <c r="N34" s="68"/>
      <c r="O34" s="68"/>
      <c r="Q34" s="68"/>
      <c r="R34" s="68"/>
      <c r="S34" s="70"/>
    </row>
    <row r="35" spans="2:20" x14ac:dyDescent="0.25">
      <c r="B35" s="347" t="s">
        <v>235</v>
      </c>
      <c r="C35" s="333"/>
      <c r="D35" s="333"/>
      <c r="E35" s="333"/>
      <c r="F35" s="333"/>
      <c r="G35" s="333"/>
      <c r="H35" s="333"/>
      <c r="L35" s="5"/>
      <c r="M35" s="68"/>
      <c r="N35" s="68"/>
      <c r="O35" s="68"/>
      <c r="Q35" s="68"/>
      <c r="R35" s="68"/>
      <c r="S35" s="70"/>
    </row>
    <row r="36" spans="2:20" x14ac:dyDescent="0.25">
      <c r="B36" s="249" t="s">
        <v>236</v>
      </c>
      <c r="C36" s="94"/>
      <c r="D36" s="94"/>
      <c r="L36" s="5"/>
      <c r="M36" s="68"/>
      <c r="N36" s="68"/>
      <c r="O36" s="68"/>
      <c r="Q36" s="68"/>
      <c r="R36" s="68"/>
      <c r="S36" s="70"/>
    </row>
    <row r="37" spans="2:20" ht="15" customHeight="1" x14ac:dyDescent="0.25">
      <c r="B37" s="10"/>
      <c r="C37" s="96"/>
      <c r="D37" s="96"/>
      <c r="E37" s="10"/>
      <c r="F37" s="10"/>
      <c r="G37" s="10"/>
      <c r="H37" s="10"/>
      <c r="I37" s="10"/>
      <c r="J37" s="10"/>
      <c r="K37" s="10"/>
      <c r="L37" s="10"/>
      <c r="M37" s="10"/>
      <c r="N37" s="10"/>
      <c r="O37" s="10"/>
      <c r="P37" s="10"/>
      <c r="Q37" s="10"/>
      <c r="R37" s="10"/>
      <c r="S37" s="28"/>
    </row>
    <row r="38" spans="2:20" ht="15" customHeight="1" x14ac:dyDescent="0.25">
      <c r="Q38" s="59" t="s">
        <v>90</v>
      </c>
      <c r="R38" s="50"/>
      <c r="S38" s="169"/>
    </row>
    <row r="39" spans="2:20" ht="15" customHeight="1" x14ac:dyDescent="0.25">
      <c r="B39" s="17" t="s">
        <v>39</v>
      </c>
      <c r="C39" s="98" t="s">
        <v>2</v>
      </c>
      <c r="D39" s="98"/>
      <c r="E39" s="98" t="s">
        <v>34</v>
      </c>
      <c r="F39" s="98" t="s">
        <v>35</v>
      </c>
      <c r="G39" s="123"/>
      <c r="H39" s="123"/>
      <c r="I39" s="117"/>
      <c r="J39" s="98"/>
      <c r="K39" s="98"/>
      <c r="L39" s="98" t="s">
        <v>36</v>
      </c>
      <c r="M39" s="98" t="s">
        <v>37</v>
      </c>
      <c r="N39" s="47"/>
      <c r="O39" s="47"/>
      <c r="P39" s="47"/>
      <c r="Q39" s="54" t="s">
        <v>88</v>
      </c>
      <c r="R39" s="52"/>
      <c r="S39" s="53"/>
      <c r="T39" s="51"/>
    </row>
    <row r="40" spans="2:20" x14ac:dyDescent="0.25">
      <c r="B40" s="65"/>
      <c r="C40" s="9"/>
      <c r="D40" s="9"/>
      <c r="E40" s="9"/>
      <c r="F40" s="9"/>
      <c r="G40" s="9"/>
      <c r="H40" s="9"/>
      <c r="I40" s="9"/>
      <c r="J40" s="9"/>
      <c r="K40" s="9"/>
      <c r="L40" s="9"/>
      <c r="M40" s="9"/>
      <c r="N40" s="45"/>
      <c r="O40" s="45"/>
      <c r="P40" s="45"/>
      <c r="Q40" s="59"/>
      <c r="R40" s="50"/>
      <c r="S40" s="50"/>
      <c r="T40" s="51"/>
    </row>
    <row r="41" spans="2:20" x14ac:dyDescent="0.25">
      <c r="B41" s="65"/>
      <c r="C41" s="9"/>
      <c r="D41" s="9"/>
      <c r="E41" s="9"/>
      <c r="F41" s="9"/>
      <c r="G41" s="9"/>
      <c r="H41" s="9"/>
      <c r="I41" s="9"/>
      <c r="J41" s="9"/>
      <c r="K41" s="9"/>
      <c r="L41" s="9"/>
      <c r="M41" s="9"/>
      <c r="N41" s="45"/>
      <c r="O41" s="45"/>
      <c r="P41" s="45"/>
      <c r="R41" s="51"/>
      <c r="S41" s="51"/>
      <c r="T41" s="51"/>
    </row>
    <row r="42" spans="2:20" x14ac:dyDescent="0.25">
      <c r="B42" s="12"/>
      <c r="C42" s="13"/>
      <c r="D42" s="13"/>
      <c r="E42" s="41"/>
      <c r="F42" s="15"/>
      <c r="G42" s="15"/>
      <c r="H42" s="15"/>
      <c r="I42" s="15"/>
      <c r="J42" s="15"/>
      <c r="K42" s="15"/>
      <c r="L42" s="16"/>
      <c r="M42" s="31"/>
      <c r="Q42" s="51"/>
      <c r="R42" s="51"/>
      <c r="S42" s="51"/>
      <c r="T42" s="51"/>
    </row>
    <row r="43" spans="2:20" x14ac:dyDescent="0.25">
      <c r="B43" s="12"/>
      <c r="C43" s="13"/>
      <c r="D43" s="13"/>
      <c r="E43" s="41"/>
      <c r="F43" s="15"/>
      <c r="G43" s="15"/>
      <c r="H43" s="15"/>
      <c r="I43" s="15"/>
      <c r="J43" s="15"/>
      <c r="K43" s="15"/>
      <c r="L43" s="16"/>
      <c r="M43" s="31"/>
      <c r="Q43" s="51"/>
      <c r="R43" s="51"/>
      <c r="S43" s="51"/>
      <c r="T43" s="51"/>
    </row>
    <row r="44" spans="2:20" x14ac:dyDescent="0.25">
      <c r="B44" s="12"/>
      <c r="C44" s="13"/>
      <c r="D44" s="13"/>
      <c r="E44" s="41"/>
      <c r="F44" s="15"/>
      <c r="G44" s="15"/>
      <c r="H44" s="15"/>
      <c r="I44" s="15"/>
      <c r="J44" s="15"/>
      <c r="K44" s="15"/>
      <c r="L44" s="16"/>
      <c r="M44" s="31"/>
      <c r="Q44" s="51"/>
      <c r="R44" s="51"/>
      <c r="S44" s="51"/>
      <c r="T44" s="51"/>
    </row>
    <row r="45" spans="2:20" x14ac:dyDescent="0.25">
      <c r="B45" s="12"/>
      <c r="C45" s="13"/>
      <c r="D45" s="13"/>
      <c r="E45" s="41"/>
      <c r="F45" s="15"/>
      <c r="G45" s="15"/>
      <c r="H45" s="15"/>
      <c r="I45" s="15"/>
      <c r="J45" s="15"/>
      <c r="K45" s="15"/>
      <c r="L45" s="16"/>
      <c r="M45" s="31"/>
      <c r="T45" s="51"/>
    </row>
    <row r="46" spans="2:20" ht="15" customHeight="1" x14ac:dyDescent="0.25">
      <c r="B46" s="36"/>
      <c r="C46" s="40"/>
      <c r="D46" s="40"/>
      <c r="E46" s="41"/>
      <c r="F46" s="38"/>
      <c r="G46" s="38"/>
      <c r="H46" s="38"/>
      <c r="I46" s="38"/>
      <c r="J46" s="38"/>
      <c r="K46" s="38"/>
      <c r="L46" s="16"/>
      <c r="M46" s="34"/>
      <c r="N46" s="107"/>
      <c r="O46" s="29"/>
      <c r="P46" s="29"/>
    </row>
    <row r="47" spans="2:20" x14ac:dyDescent="0.25">
      <c r="B47" s="36"/>
      <c r="C47" s="40"/>
      <c r="D47" s="40"/>
      <c r="E47" s="41"/>
      <c r="F47" s="38"/>
      <c r="G47" s="38"/>
      <c r="H47" s="38"/>
      <c r="I47" s="38"/>
      <c r="J47" s="38"/>
      <c r="K47" s="38"/>
      <c r="L47" s="39"/>
      <c r="M47" s="34"/>
      <c r="N47" s="107"/>
      <c r="O47" s="29"/>
      <c r="P47" s="29"/>
    </row>
    <row r="48" spans="2:20" x14ac:dyDescent="0.25">
      <c r="C48" s="40"/>
      <c r="D48" s="40"/>
      <c r="E48" s="41"/>
      <c r="F48" s="71"/>
      <c r="G48" s="71"/>
      <c r="H48" s="71"/>
      <c r="I48" s="71"/>
      <c r="J48" s="71"/>
      <c r="K48" s="71"/>
      <c r="L48" s="33"/>
      <c r="M48" s="31"/>
      <c r="N48" s="107"/>
    </row>
    <row r="49" spans="2:19" x14ac:dyDescent="0.25">
      <c r="C49" s="40"/>
      <c r="D49" s="40"/>
      <c r="E49" s="41"/>
      <c r="F49" s="71"/>
      <c r="G49" s="71"/>
      <c r="H49" s="71"/>
      <c r="I49" s="71"/>
      <c r="J49" s="71"/>
      <c r="K49" s="71"/>
      <c r="L49" s="33"/>
      <c r="M49" s="31"/>
      <c r="N49" s="108"/>
    </row>
    <row r="50" spans="2:19" x14ac:dyDescent="0.25">
      <c r="B50" s="2" t="s">
        <v>100</v>
      </c>
      <c r="C50" s="40"/>
      <c r="D50" s="40"/>
      <c r="E50" s="41"/>
      <c r="F50" s="71"/>
      <c r="G50" s="71"/>
      <c r="H50" s="71"/>
      <c r="I50" s="71"/>
      <c r="J50" s="71"/>
      <c r="K50" s="71"/>
      <c r="L50" s="33"/>
      <c r="M50" s="35"/>
      <c r="N50" s="37"/>
      <c r="O50" s="37"/>
      <c r="P50" s="29"/>
      <c r="Q50" s="325" t="s">
        <v>343</v>
      </c>
      <c r="R50" s="325"/>
      <c r="S50" s="327">
        <f>S15</f>
        <v>51190.720000000001</v>
      </c>
    </row>
    <row r="51" spans="2:19" ht="15" customHeight="1" x14ac:dyDescent="0.25">
      <c r="B51" s="36"/>
      <c r="C51" s="40"/>
      <c r="D51" s="40"/>
      <c r="E51" s="41"/>
      <c r="F51" s="38"/>
      <c r="G51" s="38"/>
      <c r="H51" s="38"/>
      <c r="I51" s="38"/>
      <c r="J51" s="38"/>
      <c r="K51" s="38"/>
      <c r="L51" s="33"/>
      <c r="M51" s="31"/>
      <c r="N51" s="101"/>
      <c r="O51" s="101"/>
      <c r="P51" s="29"/>
    </row>
    <row r="52" spans="2:19" x14ac:dyDescent="0.25">
      <c r="B52" s="36"/>
      <c r="C52" s="40"/>
      <c r="D52" s="40"/>
      <c r="E52" s="41"/>
      <c r="F52" s="38"/>
      <c r="G52" s="38"/>
      <c r="H52" s="38"/>
      <c r="I52" s="38"/>
      <c r="J52" s="38"/>
      <c r="K52" s="38"/>
      <c r="L52" s="33"/>
      <c r="M52" s="31"/>
      <c r="N52" s="101"/>
      <c r="O52" s="101"/>
      <c r="P52" s="29"/>
    </row>
    <row r="53" spans="2:19" x14ac:dyDescent="0.25">
      <c r="B53" s="36"/>
      <c r="C53" s="40"/>
      <c r="D53" s="40"/>
      <c r="E53" s="41"/>
      <c r="F53" s="38"/>
      <c r="G53" s="38"/>
      <c r="H53" s="38"/>
      <c r="I53" s="38"/>
      <c r="J53" s="38"/>
      <c r="K53" s="38"/>
      <c r="L53" s="33"/>
      <c r="M53" s="31"/>
      <c r="N53" s="101"/>
      <c r="O53" s="101"/>
      <c r="P53" s="29"/>
    </row>
    <row r="54" spans="2:19" ht="16.5" customHeight="1" x14ac:dyDescent="0.25">
      <c r="B54" s="36"/>
      <c r="C54" s="40"/>
      <c r="D54" s="40"/>
      <c r="E54" s="41"/>
      <c r="F54" s="38"/>
      <c r="G54" s="38"/>
      <c r="H54" s="38"/>
      <c r="I54" s="38"/>
      <c r="J54" s="38"/>
      <c r="K54" s="38"/>
      <c r="L54" s="39"/>
      <c r="M54" s="20"/>
      <c r="N54" s="101"/>
      <c r="O54" s="101"/>
      <c r="P54" s="29"/>
    </row>
    <row r="55" spans="2:19" ht="15" hidden="1" customHeight="1" x14ac:dyDescent="0.25"/>
    <row r="56" spans="2:19" ht="15" customHeight="1" x14ac:dyDescent="0.25">
      <c r="E56" s="21"/>
      <c r="F56" s="105"/>
      <c r="G56" s="105"/>
      <c r="H56" s="105"/>
      <c r="I56" s="105"/>
      <c r="J56" s="105"/>
      <c r="K56" s="105"/>
    </row>
    <row r="59" spans="2:19" ht="15" customHeight="1" x14ac:dyDescent="0.25"/>
  </sheetData>
  <mergeCells count="7">
    <mergeCell ref="B35:H35"/>
    <mergeCell ref="B23:F23"/>
    <mergeCell ref="Q2:S2"/>
    <mergeCell ref="Q1:S1"/>
    <mergeCell ref="B18:F18"/>
    <mergeCell ref="B20:F20"/>
    <mergeCell ref="B22:F22"/>
  </mergeCells>
  <hyperlinks>
    <hyperlink ref="B23" r:id="rId1"/>
  </hyperlinks>
  <printOptions horizontalCentered="1" gridLines="1"/>
  <pageMargins left="0" right="0" top="0.75" bottom="0.75" header="0.3" footer="0.3"/>
  <pageSetup scale="54" orientation="landscape" horizontalDpi="1200" verticalDpi="1200"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0"/>
  <sheetViews>
    <sheetView topLeftCell="C17" zoomScale="90" zoomScaleNormal="90" workbookViewId="0">
      <selection activeCell="S51" sqref="S51"/>
    </sheetView>
  </sheetViews>
  <sheetFormatPr defaultColWidth="9.140625" defaultRowHeight="15" x14ac:dyDescent="0.25"/>
  <cols>
    <col min="1" max="1" width="9.140625" style="2" hidden="1" customWidth="1"/>
    <col min="2" max="2" width="57.42578125" style="2" customWidth="1"/>
    <col min="3" max="3" width="24.42578125" style="2" bestFit="1" customWidth="1"/>
    <col min="4" max="4" width="13.7109375" style="2" customWidth="1"/>
    <col min="5" max="5" width="17.42578125" style="2" customWidth="1"/>
    <col min="6" max="6" width="21.5703125" style="2" customWidth="1"/>
    <col min="7" max="7" width="10.28515625" style="2" customWidth="1"/>
    <col min="8" max="8" width="12.85546875" style="2" customWidth="1"/>
    <col min="9" max="9" width="13.42578125" style="2" customWidth="1"/>
    <col min="10" max="10" width="15.7109375" style="2" customWidth="1"/>
    <col min="11" max="11" width="8.85546875" style="2" customWidth="1"/>
    <col min="12" max="12" width="18.28515625" style="2" customWidth="1"/>
    <col min="13" max="13" width="14"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6.7109375" style="2" customWidth="1"/>
    <col min="20" max="16384" width="9.140625" style="2"/>
  </cols>
  <sheetData>
    <row r="1" spans="1:20" ht="15.6" customHeight="1" x14ac:dyDescent="0.25">
      <c r="A1" s="2" t="s">
        <v>342</v>
      </c>
      <c r="B1" s="1" t="s">
        <v>224</v>
      </c>
      <c r="Q1" s="335" t="s">
        <v>230</v>
      </c>
      <c r="R1" s="335"/>
      <c r="S1" s="335"/>
    </row>
    <row r="2" spans="1:20" x14ac:dyDescent="0.25">
      <c r="B2" s="90" t="s">
        <v>148</v>
      </c>
      <c r="C2" s="187">
        <v>44377</v>
      </c>
      <c r="M2" s="73"/>
      <c r="N2" s="73"/>
      <c r="P2" s="29"/>
      <c r="Q2" s="334" t="s">
        <v>338</v>
      </c>
      <c r="R2" s="334"/>
      <c r="S2" s="334"/>
    </row>
    <row r="3" spans="1:20" ht="15.75" thickBot="1" x14ac:dyDescent="0.3">
      <c r="A3" s="2" t="s">
        <v>16</v>
      </c>
      <c r="B3" s="44" t="s">
        <v>68</v>
      </c>
      <c r="C3" s="8"/>
      <c r="D3" s="8"/>
      <c r="E3" s="8"/>
      <c r="P3" s="29"/>
      <c r="Q3" s="45"/>
      <c r="R3" s="30"/>
    </row>
    <row r="4" spans="1:20" x14ac:dyDescent="0.25">
      <c r="B4" s="8" t="s">
        <v>174</v>
      </c>
      <c r="M4" s="87" t="s">
        <v>28</v>
      </c>
      <c r="N4" s="87" t="s">
        <v>28</v>
      </c>
      <c r="O4" s="87" t="s">
        <v>28</v>
      </c>
      <c r="P4" s="9"/>
      <c r="Q4" s="91" t="s">
        <v>29</v>
      </c>
      <c r="R4" s="91" t="s">
        <v>31</v>
      </c>
      <c r="S4" s="91" t="s">
        <v>23</v>
      </c>
      <c r="T4" s="7"/>
    </row>
    <row r="5" spans="1:20" ht="15.75" thickBot="1" x14ac:dyDescent="0.3">
      <c r="G5" s="188" t="s">
        <v>231</v>
      </c>
      <c r="H5" s="188" t="s">
        <v>231</v>
      </c>
      <c r="M5" s="88" t="s">
        <v>27</v>
      </c>
      <c r="N5" s="88" t="s">
        <v>26</v>
      </c>
      <c r="O5" s="88" t="s">
        <v>25</v>
      </c>
      <c r="P5" s="9"/>
      <c r="Q5" s="92" t="s">
        <v>30</v>
      </c>
      <c r="R5" s="92" t="s">
        <v>30</v>
      </c>
      <c r="S5" s="92" t="s">
        <v>30</v>
      </c>
      <c r="T5" s="7"/>
    </row>
    <row r="6" spans="1:20" ht="85.5" customHeight="1" thickBot="1" x14ac:dyDescent="0.3">
      <c r="B6" s="86" t="s">
        <v>1</v>
      </c>
      <c r="C6" s="86" t="s">
        <v>127</v>
      </c>
      <c r="D6" s="86" t="s">
        <v>107</v>
      </c>
      <c r="E6" s="86" t="s">
        <v>3</v>
      </c>
      <c r="F6" s="86" t="s">
        <v>4</v>
      </c>
      <c r="G6" s="110" t="s">
        <v>136</v>
      </c>
      <c r="H6" s="110" t="s">
        <v>137</v>
      </c>
      <c r="I6" s="110" t="s">
        <v>133</v>
      </c>
      <c r="J6" s="110" t="s">
        <v>134</v>
      </c>
      <c r="K6" s="110" t="s">
        <v>121</v>
      </c>
      <c r="L6" s="85" t="s">
        <v>5</v>
      </c>
      <c r="M6" s="89" t="s">
        <v>6</v>
      </c>
      <c r="N6" s="89" t="s">
        <v>6</v>
      </c>
      <c r="O6" s="89" t="s">
        <v>6</v>
      </c>
      <c r="P6" s="9"/>
      <c r="Q6" s="93"/>
      <c r="R6" s="99" t="s">
        <v>32</v>
      </c>
      <c r="S6" s="100" t="s">
        <v>33</v>
      </c>
    </row>
    <row r="7" spans="1:20" ht="36.75" customHeight="1" x14ac:dyDescent="0.25">
      <c r="B7" s="2" t="s">
        <v>128</v>
      </c>
      <c r="C7" s="231" t="s">
        <v>122</v>
      </c>
      <c r="D7" s="95" t="s">
        <v>248</v>
      </c>
      <c r="E7" s="2" t="s">
        <v>233</v>
      </c>
      <c r="F7" s="2" t="s">
        <v>7</v>
      </c>
      <c r="G7" s="191">
        <v>2.9600000000000001E-2</v>
      </c>
      <c r="H7" s="191">
        <v>0.1744</v>
      </c>
      <c r="I7" s="192">
        <v>44377</v>
      </c>
      <c r="J7" s="192">
        <v>44378</v>
      </c>
      <c r="K7" s="192">
        <v>44013</v>
      </c>
      <c r="L7" s="193" t="s">
        <v>234</v>
      </c>
      <c r="M7" s="61">
        <v>24166.37</v>
      </c>
      <c r="N7" s="82"/>
      <c r="O7" s="61">
        <f>M7+N7</f>
        <v>24166.37</v>
      </c>
      <c r="P7" s="153"/>
      <c r="Q7" s="61">
        <v>24166.37</v>
      </c>
      <c r="R7" s="60"/>
      <c r="S7" s="83">
        <f>Q7+R7</f>
        <v>24166.37</v>
      </c>
    </row>
    <row r="8" spans="1:20" ht="36.75" customHeight="1" x14ac:dyDescent="0.25">
      <c r="B8" s="2" t="s">
        <v>289</v>
      </c>
      <c r="C8" s="243" t="s">
        <v>292</v>
      </c>
      <c r="D8" s="95" t="s">
        <v>290</v>
      </c>
      <c r="E8" s="2" t="s">
        <v>291</v>
      </c>
      <c r="F8" s="2" t="s">
        <v>7</v>
      </c>
      <c r="G8" s="191">
        <f t="shared" ref="G8:H8" si="0">+G7</f>
        <v>2.9600000000000001E-2</v>
      </c>
      <c r="H8" s="191">
        <f t="shared" si="0"/>
        <v>0.1744</v>
      </c>
      <c r="I8" s="192">
        <v>44439</v>
      </c>
      <c r="J8" s="192">
        <v>44454</v>
      </c>
      <c r="K8" s="192">
        <v>44013</v>
      </c>
      <c r="L8" s="193" t="s">
        <v>331</v>
      </c>
      <c r="M8" s="61">
        <v>9675</v>
      </c>
      <c r="N8" s="82"/>
      <c r="O8" s="61">
        <f>M8+N8</f>
        <v>9675</v>
      </c>
      <c r="P8" s="153"/>
      <c r="Q8" s="61">
        <v>9675</v>
      </c>
      <c r="R8" s="60"/>
      <c r="S8" s="83">
        <f>Q8+R8</f>
        <v>9675</v>
      </c>
    </row>
    <row r="9" spans="1:20" ht="36.75" customHeight="1" x14ac:dyDescent="0.25">
      <c r="B9" s="2" t="s">
        <v>241</v>
      </c>
      <c r="C9" s="243" t="s">
        <v>242</v>
      </c>
      <c r="D9" s="95" t="s">
        <v>243</v>
      </c>
      <c r="E9" s="2" t="s">
        <v>244</v>
      </c>
      <c r="F9" s="2" t="s">
        <v>7</v>
      </c>
      <c r="G9" s="191">
        <v>2.9600000000000001E-2</v>
      </c>
      <c r="H9" s="191">
        <v>0.1744</v>
      </c>
      <c r="I9" s="192">
        <v>44834</v>
      </c>
      <c r="J9" s="192">
        <v>44849</v>
      </c>
      <c r="K9" s="192">
        <v>43614</v>
      </c>
      <c r="L9" s="193" t="s">
        <v>311</v>
      </c>
      <c r="M9" s="61">
        <v>95247.6</v>
      </c>
      <c r="N9" s="82"/>
      <c r="O9" s="61">
        <f>M9+N9</f>
        <v>95247.6</v>
      </c>
      <c r="P9" s="153"/>
      <c r="Q9" s="61">
        <v>94793.5</v>
      </c>
      <c r="R9" s="60"/>
      <c r="S9" s="83">
        <f>Q9+R9</f>
        <v>94793.5</v>
      </c>
    </row>
    <row r="10" spans="1:20" ht="36.75" customHeight="1" x14ac:dyDescent="0.25">
      <c r="B10" s="2" t="s">
        <v>283</v>
      </c>
      <c r="C10" s="243" t="s">
        <v>264</v>
      </c>
      <c r="D10" s="95" t="s">
        <v>254</v>
      </c>
      <c r="E10" s="2" t="s">
        <v>284</v>
      </c>
      <c r="F10" s="2" t="s">
        <v>7</v>
      </c>
      <c r="G10" s="191">
        <f t="shared" ref="G10:H10" si="1">+G9</f>
        <v>2.9600000000000001E-2</v>
      </c>
      <c r="H10" s="191">
        <f t="shared" si="1"/>
        <v>0.1744</v>
      </c>
      <c r="I10" s="192">
        <v>44377</v>
      </c>
      <c r="J10" s="192">
        <v>44392</v>
      </c>
      <c r="K10" s="192">
        <v>43613</v>
      </c>
      <c r="L10" s="193" t="s">
        <v>234</v>
      </c>
      <c r="M10" s="81">
        <v>7302.48</v>
      </c>
      <c r="N10" s="69"/>
      <c r="O10" s="69">
        <f>M10+N10</f>
        <v>7302.48</v>
      </c>
      <c r="P10" s="69"/>
      <c r="Q10" s="69"/>
      <c r="R10" s="69"/>
      <c r="S10" s="70">
        <f>Q10+R10</f>
        <v>0</v>
      </c>
    </row>
    <row r="11" spans="1:20" ht="28.5" customHeight="1" x14ac:dyDescent="0.25">
      <c r="B11" s="2" t="s">
        <v>314</v>
      </c>
      <c r="C11" s="243" t="s">
        <v>242</v>
      </c>
      <c r="D11" s="95" t="s">
        <v>243</v>
      </c>
      <c r="E11" s="2" t="s">
        <v>315</v>
      </c>
      <c r="F11" s="2" t="s">
        <v>7</v>
      </c>
      <c r="G11" s="313">
        <f>+G9</f>
        <v>2.9600000000000001E-2</v>
      </c>
      <c r="H11" s="313">
        <f>+H9</f>
        <v>0.1744</v>
      </c>
      <c r="I11" s="312">
        <v>44773</v>
      </c>
      <c r="J11" s="312">
        <v>44788</v>
      </c>
      <c r="K11" s="192">
        <v>43980</v>
      </c>
      <c r="L11" s="193" t="s">
        <v>316</v>
      </c>
      <c r="M11" s="81">
        <v>3780.29</v>
      </c>
      <c r="N11" s="72"/>
      <c r="O11" s="69">
        <f>M11+N11</f>
        <v>3780.29</v>
      </c>
      <c r="P11" s="69"/>
      <c r="Q11" s="69"/>
      <c r="R11" s="69"/>
      <c r="S11" s="70">
        <f>Q11+R11</f>
        <v>0</v>
      </c>
    </row>
    <row r="12" spans="1:20" ht="28.5" customHeight="1" x14ac:dyDescent="0.25">
      <c r="B12" s="2" t="s">
        <v>318</v>
      </c>
      <c r="C12" s="243" t="s">
        <v>242</v>
      </c>
      <c r="D12" s="95" t="s">
        <v>243</v>
      </c>
      <c r="E12" s="2" t="s">
        <v>319</v>
      </c>
      <c r="F12" s="2" t="s">
        <v>7</v>
      </c>
      <c r="G12" s="191">
        <v>2.9600000000000001E-2</v>
      </c>
      <c r="H12" s="191">
        <v>0.1744</v>
      </c>
      <c r="I12" s="192">
        <v>44561</v>
      </c>
      <c r="J12" s="192">
        <v>44576</v>
      </c>
      <c r="K12" s="192">
        <v>43980</v>
      </c>
      <c r="L12" s="193" t="s">
        <v>320</v>
      </c>
      <c r="M12" s="81">
        <v>3000</v>
      </c>
      <c r="N12" s="69"/>
      <c r="O12" s="69">
        <f t="shared" ref="O12:O14" si="2">M12+N12</f>
        <v>3000</v>
      </c>
      <c r="P12" s="68"/>
      <c r="Q12" s="69"/>
      <c r="R12" s="69"/>
      <c r="S12" s="70">
        <f t="shared" ref="S12:S14" si="3">Q12+R12</f>
        <v>0</v>
      </c>
    </row>
    <row r="13" spans="1:20" ht="28.5" customHeight="1" x14ac:dyDescent="0.25">
      <c r="B13" s="2" t="s">
        <v>321</v>
      </c>
      <c r="C13" s="243" t="s">
        <v>264</v>
      </c>
      <c r="D13" s="95" t="s">
        <v>254</v>
      </c>
      <c r="E13" s="2" t="s">
        <v>322</v>
      </c>
      <c r="F13" s="2" t="s">
        <v>7</v>
      </c>
      <c r="G13" s="191">
        <v>2.9600000000000001E-2</v>
      </c>
      <c r="H13" s="191">
        <v>0.1744</v>
      </c>
      <c r="I13" s="192">
        <v>44742</v>
      </c>
      <c r="J13" s="192">
        <v>44757</v>
      </c>
      <c r="K13" s="192">
        <v>43979</v>
      </c>
      <c r="L13" s="193" t="s">
        <v>323</v>
      </c>
      <c r="M13" s="81">
        <v>1027</v>
      </c>
      <c r="N13" s="69"/>
      <c r="O13" s="69">
        <f t="shared" si="2"/>
        <v>1027</v>
      </c>
      <c r="P13" s="68"/>
      <c r="Q13" s="69"/>
      <c r="R13" s="69"/>
      <c r="S13" s="70">
        <f t="shared" si="3"/>
        <v>0</v>
      </c>
    </row>
    <row r="14" spans="1:20" ht="28.5" customHeight="1" x14ac:dyDescent="0.25">
      <c r="B14" s="2" t="s">
        <v>327</v>
      </c>
      <c r="C14" s="243" t="s">
        <v>242</v>
      </c>
      <c r="D14" s="95" t="s">
        <v>328</v>
      </c>
      <c r="E14" s="2" t="s">
        <v>329</v>
      </c>
      <c r="F14" s="2" t="s">
        <v>7</v>
      </c>
      <c r="G14" s="191">
        <v>2.9600000000000001E-2</v>
      </c>
      <c r="H14" s="191">
        <v>0.1744</v>
      </c>
      <c r="I14" s="192">
        <v>44440</v>
      </c>
      <c r="J14" s="192">
        <v>44440</v>
      </c>
      <c r="K14" s="192">
        <v>44201</v>
      </c>
      <c r="L14" s="193" t="s">
        <v>330</v>
      </c>
      <c r="M14" s="81">
        <v>187034.17</v>
      </c>
      <c r="N14" s="69"/>
      <c r="O14" s="69">
        <f t="shared" si="2"/>
        <v>187034.17</v>
      </c>
      <c r="P14" s="68"/>
      <c r="Q14" s="69"/>
      <c r="R14" s="69"/>
      <c r="S14" s="70">
        <f t="shared" si="3"/>
        <v>0</v>
      </c>
    </row>
    <row r="15" spans="1:20" x14ac:dyDescent="0.25">
      <c r="G15" s="191"/>
      <c r="H15" s="191"/>
      <c r="I15" s="192"/>
      <c r="J15" s="192"/>
      <c r="K15" s="192"/>
      <c r="L15" s="193"/>
      <c r="M15" s="25"/>
      <c r="N15" s="25"/>
      <c r="O15" s="25"/>
      <c r="P15" s="29"/>
      <c r="Q15" s="25"/>
      <c r="R15" s="25"/>
      <c r="S15" s="26"/>
    </row>
    <row r="16" spans="1:20" ht="23.25" customHeight="1" x14ac:dyDescent="0.25">
      <c r="C16" s="94"/>
      <c r="D16" s="94"/>
      <c r="G16" s="207"/>
      <c r="H16" s="191"/>
      <c r="I16" s="192"/>
      <c r="J16" s="192"/>
      <c r="K16" s="192"/>
      <c r="L16" s="210" t="s">
        <v>38</v>
      </c>
      <c r="M16" s="68">
        <f>SUM(M7:M15)</f>
        <v>331232.91000000003</v>
      </c>
      <c r="N16" s="68">
        <f>SUM(N15:N15)</f>
        <v>0</v>
      </c>
      <c r="O16" s="68">
        <f>SUM(O7:O15)</f>
        <v>331232.91000000003</v>
      </c>
      <c r="Q16" s="68">
        <f>SUM(Q7:Q15)</f>
        <v>128634.87</v>
      </c>
      <c r="R16" s="68">
        <f>SUM(R7:R15)</f>
        <v>0</v>
      </c>
      <c r="S16" s="70">
        <f>SUM(S7:S15)</f>
        <v>128634.87</v>
      </c>
    </row>
    <row r="17" spans="2:19" x14ac:dyDescent="0.25">
      <c r="C17" s="94"/>
      <c r="D17" s="94"/>
      <c r="I17" s="119"/>
      <c r="J17" s="119"/>
      <c r="K17" s="119"/>
      <c r="L17" s="5"/>
      <c r="M17" s="68"/>
      <c r="N17" s="68"/>
      <c r="O17" s="68"/>
      <c r="Q17" s="68"/>
      <c r="R17" s="68"/>
      <c r="S17" s="70"/>
    </row>
    <row r="18" spans="2:19" x14ac:dyDescent="0.25">
      <c r="C18" s="94"/>
      <c r="D18" s="94"/>
      <c r="I18" s="119"/>
      <c r="J18" s="119"/>
      <c r="K18" s="119"/>
      <c r="L18" s="5"/>
      <c r="M18" s="68"/>
      <c r="N18" s="68"/>
      <c r="O18" s="68"/>
      <c r="Q18" s="68"/>
      <c r="R18" s="68"/>
      <c r="S18" s="70"/>
    </row>
    <row r="19" spans="2:19" x14ac:dyDescent="0.25">
      <c r="C19" s="94"/>
      <c r="D19" s="94"/>
      <c r="L19" s="5"/>
      <c r="M19" s="68"/>
      <c r="N19" s="68"/>
      <c r="O19" s="68"/>
      <c r="Q19" s="68"/>
      <c r="R19" s="68"/>
      <c r="S19" s="70"/>
    </row>
    <row r="20" spans="2:19" x14ac:dyDescent="0.25">
      <c r="B20" s="8" t="s">
        <v>125</v>
      </c>
      <c r="C20" s="94"/>
      <c r="D20" s="94"/>
      <c r="L20" s="5"/>
      <c r="M20" s="68"/>
      <c r="N20" s="68"/>
      <c r="O20" s="68"/>
      <c r="Q20" s="68"/>
      <c r="R20" s="68"/>
      <c r="S20" s="70"/>
    </row>
    <row r="21" spans="2:19" ht="35.450000000000003" customHeight="1" x14ac:dyDescent="0.25">
      <c r="B21" s="338" t="s">
        <v>126</v>
      </c>
      <c r="C21" s="338"/>
      <c r="D21" s="338"/>
      <c r="E21" s="338"/>
      <c r="F21" s="111"/>
      <c r="G21" s="120"/>
      <c r="H21" s="120"/>
      <c r="I21" s="114"/>
      <c r="L21" s="5"/>
      <c r="M21" s="68"/>
      <c r="N21" s="68"/>
      <c r="O21" s="68"/>
      <c r="Q21" s="68"/>
      <c r="R21" s="68"/>
      <c r="S21" s="70"/>
    </row>
    <row r="22" spans="2:19" x14ac:dyDescent="0.25">
      <c r="C22" s="94"/>
      <c r="D22" s="94"/>
      <c r="L22" s="5"/>
      <c r="M22" s="68"/>
      <c r="N22" s="68"/>
      <c r="O22" s="68"/>
      <c r="Q22" s="68"/>
      <c r="R22" s="68"/>
      <c r="S22" s="70"/>
    </row>
    <row r="23" spans="2:19" ht="61.5" customHeight="1" x14ac:dyDescent="0.25">
      <c r="B23" s="338" t="s">
        <v>129</v>
      </c>
      <c r="C23" s="338"/>
      <c r="D23" s="338"/>
      <c r="E23" s="338"/>
      <c r="F23" s="111"/>
      <c r="G23" s="120"/>
      <c r="H23" s="120"/>
      <c r="I23" s="114"/>
      <c r="L23" s="5"/>
      <c r="M23" s="68"/>
      <c r="N23" s="68"/>
      <c r="O23" s="68"/>
      <c r="Q23" s="68"/>
      <c r="R23" s="68"/>
      <c r="S23" s="70"/>
    </row>
    <row r="24" spans="2:19" x14ac:dyDescent="0.25">
      <c r="B24" s="111"/>
      <c r="C24" s="111"/>
      <c r="D24" s="111"/>
      <c r="E24" s="111"/>
      <c r="F24" s="111"/>
      <c r="G24" s="120"/>
      <c r="H24" s="120"/>
      <c r="I24" s="114"/>
      <c r="L24" s="5"/>
      <c r="M24" s="68"/>
      <c r="N24" s="68"/>
      <c r="O24" s="68"/>
      <c r="Q24" s="68"/>
      <c r="R24" s="68"/>
      <c r="S24" s="70"/>
    </row>
    <row r="25" spans="2:19" ht="31.5" customHeight="1" x14ac:dyDescent="0.25">
      <c r="B25" s="338" t="s">
        <v>160</v>
      </c>
      <c r="C25" s="338"/>
      <c r="D25" s="338"/>
      <c r="E25" s="338"/>
      <c r="F25" s="338"/>
      <c r="G25" s="198"/>
      <c r="H25" s="198"/>
      <c r="I25" s="198"/>
      <c r="L25" s="5"/>
      <c r="M25" s="68"/>
      <c r="N25" s="68"/>
      <c r="O25" s="68"/>
      <c r="Q25" s="68"/>
      <c r="R25" s="68"/>
      <c r="S25" s="70"/>
    </row>
    <row r="26" spans="2:19" ht="15" customHeight="1" x14ac:dyDescent="0.25">
      <c r="B26" s="346" t="s">
        <v>159</v>
      </c>
      <c r="C26" s="338"/>
      <c r="D26" s="338"/>
      <c r="E26" s="338"/>
      <c r="F26" s="338"/>
      <c r="G26" s="198"/>
      <c r="H26" s="198"/>
      <c r="I26" s="198"/>
      <c r="L26" s="5"/>
      <c r="M26" s="68"/>
      <c r="N26" s="68"/>
      <c r="O26" s="68"/>
      <c r="Q26" s="68"/>
      <c r="R26" s="68"/>
      <c r="S26" s="70"/>
    </row>
    <row r="27" spans="2:19" ht="15" customHeight="1" x14ac:dyDescent="0.25">
      <c r="B27" s="200"/>
      <c r="C27" s="200"/>
      <c r="D27" s="200"/>
      <c r="E27" s="200"/>
      <c r="F27" s="200"/>
      <c r="G27" s="200"/>
      <c r="H27" s="200"/>
      <c r="I27" s="200"/>
      <c r="L27" s="5"/>
      <c r="M27" s="68"/>
      <c r="N27" s="68"/>
      <c r="O27" s="68"/>
      <c r="Q27" s="68"/>
      <c r="R27" s="68"/>
      <c r="S27" s="70"/>
    </row>
    <row r="28" spans="2:19" x14ac:dyDescent="0.25">
      <c r="B28" s="7" t="s">
        <v>109</v>
      </c>
      <c r="C28" s="104" t="s">
        <v>112</v>
      </c>
      <c r="D28" s="104" t="s">
        <v>113</v>
      </c>
      <c r="E28" s="111"/>
      <c r="F28" s="111"/>
      <c r="G28" s="120"/>
      <c r="H28" s="120"/>
      <c r="I28" s="114"/>
      <c r="L28" s="5"/>
      <c r="M28" s="68"/>
      <c r="N28" s="68"/>
      <c r="O28" s="68"/>
      <c r="Q28" s="68"/>
      <c r="R28" s="68"/>
      <c r="S28" s="70"/>
    </row>
    <row r="29" spans="2:19" x14ac:dyDescent="0.25">
      <c r="B29" s="106" t="s">
        <v>111</v>
      </c>
      <c r="C29" s="94" t="s">
        <v>114</v>
      </c>
      <c r="D29" s="94" t="s">
        <v>119</v>
      </c>
      <c r="L29" s="5"/>
      <c r="M29" s="68"/>
      <c r="N29" s="68"/>
      <c r="O29" s="68"/>
      <c r="Q29" s="68"/>
      <c r="R29" s="68"/>
      <c r="S29" s="70"/>
    </row>
    <row r="30" spans="2:19" x14ac:dyDescent="0.25">
      <c r="B30" s="2" t="s">
        <v>252</v>
      </c>
      <c r="C30" s="94" t="s">
        <v>135</v>
      </c>
      <c r="D30" s="94" t="s">
        <v>147</v>
      </c>
      <c r="L30" s="5"/>
      <c r="M30" s="68"/>
      <c r="N30" s="68"/>
      <c r="O30" s="68"/>
      <c r="Q30" s="68"/>
      <c r="R30" s="68"/>
      <c r="S30" s="70"/>
    </row>
    <row r="31" spans="2:19" x14ac:dyDescent="0.25">
      <c r="B31" s="2" t="s">
        <v>260</v>
      </c>
      <c r="C31" s="94" t="s">
        <v>135</v>
      </c>
      <c r="D31" s="94" t="s">
        <v>147</v>
      </c>
      <c r="L31" s="5"/>
      <c r="M31" s="68"/>
      <c r="N31" s="68"/>
      <c r="O31" s="68"/>
      <c r="Q31" s="68"/>
      <c r="R31" s="68"/>
      <c r="S31" s="70"/>
    </row>
    <row r="32" spans="2:19" x14ac:dyDescent="0.25">
      <c r="B32" s="2" t="s">
        <v>314</v>
      </c>
      <c r="C32" s="94" t="s">
        <v>135</v>
      </c>
      <c r="D32" s="94" t="s">
        <v>147</v>
      </c>
      <c r="L32" s="5"/>
      <c r="M32" s="68"/>
      <c r="N32" s="68"/>
      <c r="O32" s="68"/>
      <c r="Q32" s="68"/>
      <c r="R32" s="68"/>
      <c r="S32" s="70"/>
    </row>
    <row r="33" spans="2:20" x14ac:dyDescent="0.25">
      <c r="B33" s="2" t="s">
        <v>318</v>
      </c>
      <c r="C33" s="94" t="s">
        <v>135</v>
      </c>
      <c r="D33" s="94" t="s">
        <v>147</v>
      </c>
      <c r="L33" s="5"/>
      <c r="M33" s="68"/>
      <c r="N33" s="68"/>
      <c r="O33" s="68"/>
      <c r="Q33" s="68"/>
      <c r="R33" s="68"/>
      <c r="S33" s="70"/>
    </row>
    <row r="34" spans="2:20" x14ac:dyDescent="0.25">
      <c r="B34" s="2" t="s">
        <v>321</v>
      </c>
      <c r="C34" s="94" t="s">
        <v>135</v>
      </c>
      <c r="D34" s="94" t="s">
        <v>147</v>
      </c>
      <c r="L34" s="5"/>
      <c r="M34" s="68"/>
      <c r="N34" s="68"/>
      <c r="O34" s="68"/>
      <c r="Q34" s="68"/>
      <c r="R34" s="68"/>
      <c r="S34" s="70"/>
    </row>
    <row r="35" spans="2:20" x14ac:dyDescent="0.25">
      <c r="B35" s="2" t="s">
        <v>326</v>
      </c>
      <c r="C35" s="94" t="s">
        <v>135</v>
      </c>
      <c r="D35" s="94" t="s">
        <v>147</v>
      </c>
      <c r="L35" s="5"/>
      <c r="M35" s="68"/>
      <c r="N35" s="68"/>
      <c r="O35" s="68"/>
      <c r="Q35" s="68"/>
      <c r="R35" s="68"/>
      <c r="S35" s="70"/>
    </row>
    <row r="36" spans="2:20" x14ac:dyDescent="0.25">
      <c r="C36" s="94"/>
      <c r="D36" s="94"/>
      <c r="L36" s="5"/>
      <c r="M36" s="68"/>
      <c r="N36" s="68"/>
      <c r="O36" s="68"/>
      <c r="Q36" s="68"/>
      <c r="R36" s="68"/>
      <c r="S36" s="70"/>
    </row>
    <row r="37" spans="2:20" x14ac:dyDescent="0.25">
      <c r="B37" s="270" t="s">
        <v>235</v>
      </c>
      <c r="C37" s="94"/>
      <c r="D37" s="94"/>
      <c r="L37" s="5"/>
      <c r="M37" s="68"/>
      <c r="N37" s="68"/>
      <c r="O37" s="68"/>
      <c r="Q37" s="68"/>
      <c r="R37" s="68"/>
      <c r="S37" s="70"/>
    </row>
    <row r="38" spans="2:20" x14ac:dyDescent="0.25">
      <c r="B38" s="225" t="s">
        <v>236</v>
      </c>
      <c r="C38" s="226"/>
      <c r="D38" s="226"/>
      <c r="E38" s="10"/>
      <c r="F38" s="10"/>
      <c r="G38" s="10"/>
      <c r="H38" s="10"/>
      <c r="I38" s="10"/>
      <c r="J38" s="10"/>
      <c r="K38" s="10"/>
      <c r="L38" s="224"/>
      <c r="M38" s="25"/>
      <c r="N38" s="25"/>
      <c r="O38" s="25"/>
      <c r="P38" s="10"/>
      <c r="Q38" s="25"/>
      <c r="R38" s="25"/>
      <c r="S38" s="26"/>
    </row>
    <row r="39" spans="2:20" x14ac:dyDescent="0.25">
      <c r="P39" s="29"/>
      <c r="Q39" s="58" t="s">
        <v>90</v>
      </c>
      <c r="R39" s="51"/>
      <c r="S39" s="172"/>
    </row>
    <row r="40" spans="2:20" ht="15" customHeight="1" x14ac:dyDescent="0.25">
      <c r="B40" s="17" t="s">
        <v>39</v>
      </c>
      <c r="C40" s="98" t="s">
        <v>2</v>
      </c>
      <c r="D40" s="98"/>
      <c r="E40" s="98" t="s">
        <v>34</v>
      </c>
      <c r="F40" s="98" t="s">
        <v>35</v>
      </c>
      <c r="G40" s="123"/>
      <c r="H40" s="123"/>
      <c r="I40" s="117"/>
      <c r="J40" s="98"/>
      <c r="K40" s="98"/>
      <c r="L40" s="98" t="s">
        <v>36</v>
      </c>
      <c r="M40" s="98" t="s">
        <v>37</v>
      </c>
      <c r="N40" s="10"/>
      <c r="O40" s="10"/>
      <c r="P40" s="10"/>
      <c r="Q40" s="54" t="s">
        <v>88</v>
      </c>
      <c r="R40" s="54"/>
      <c r="S40" s="55"/>
    </row>
    <row r="41" spans="2:20" ht="15" customHeight="1" x14ac:dyDescent="0.25">
      <c r="B41" s="65"/>
      <c r="C41" s="9"/>
      <c r="D41" s="9"/>
      <c r="E41" s="9"/>
      <c r="F41" s="9"/>
      <c r="G41" s="9"/>
      <c r="H41" s="9"/>
      <c r="I41" s="9"/>
      <c r="J41" s="9"/>
      <c r="K41" s="9"/>
      <c r="L41" s="9"/>
      <c r="M41" s="9"/>
    </row>
    <row r="42" spans="2:20" ht="15" customHeight="1" x14ac:dyDescent="0.25">
      <c r="B42" s="65"/>
      <c r="C42" s="9"/>
      <c r="D42" s="9"/>
      <c r="E42" s="9"/>
      <c r="F42" s="9"/>
      <c r="G42" s="9"/>
      <c r="H42" s="9"/>
      <c r="I42" s="9"/>
      <c r="J42" s="9"/>
      <c r="K42" s="9"/>
      <c r="L42" s="9"/>
      <c r="M42" s="9"/>
      <c r="Q42" s="58"/>
      <c r="R42" s="51"/>
      <c r="S42" s="51"/>
    </row>
    <row r="43" spans="2:20" x14ac:dyDescent="0.25">
      <c r="B43" s="12"/>
      <c r="C43" s="13"/>
      <c r="D43" s="13"/>
      <c r="E43" s="41"/>
      <c r="F43" s="15"/>
      <c r="G43" s="15"/>
      <c r="H43" s="15"/>
      <c r="I43" s="15"/>
      <c r="J43" s="15"/>
      <c r="K43" s="15"/>
      <c r="L43" s="16"/>
      <c r="M43" s="20"/>
      <c r="N43" s="46"/>
      <c r="O43" s="46"/>
      <c r="P43" s="46"/>
      <c r="R43" s="51"/>
      <c r="S43" s="51"/>
      <c r="T43" s="51"/>
    </row>
    <row r="44" spans="2:20" ht="15" customHeight="1" x14ac:dyDescent="0.25">
      <c r="B44" s="12"/>
      <c r="C44" s="13"/>
      <c r="D44" s="13"/>
      <c r="E44" s="41"/>
      <c r="F44" s="15"/>
      <c r="G44" s="15"/>
      <c r="H44" s="15"/>
      <c r="I44" s="15"/>
      <c r="J44" s="15"/>
      <c r="K44" s="15"/>
      <c r="L44" s="16"/>
      <c r="M44" s="20"/>
      <c r="N44" s="18"/>
      <c r="O44" s="18"/>
      <c r="P44" s="18"/>
      <c r="Q44" s="51"/>
      <c r="R44" s="51"/>
      <c r="S44" s="51"/>
      <c r="T44" s="51"/>
    </row>
    <row r="45" spans="2:20" ht="15" customHeight="1" x14ac:dyDescent="0.25">
      <c r="B45" s="12"/>
      <c r="C45" s="13"/>
      <c r="D45" s="13"/>
      <c r="E45" s="41"/>
      <c r="F45" s="15"/>
      <c r="G45" s="15"/>
      <c r="H45" s="15"/>
      <c r="I45" s="15"/>
      <c r="J45" s="15"/>
      <c r="K45" s="15"/>
      <c r="L45" s="16"/>
      <c r="M45" s="20"/>
      <c r="N45" s="18"/>
      <c r="O45" s="18"/>
      <c r="P45" s="18"/>
      <c r="Q45" s="51"/>
      <c r="R45" s="51"/>
      <c r="S45" s="51"/>
      <c r="T45" s="51"/>
    </row>
    <row r="46" spans="2:20" ht="15" customHeight="1" x14ac:dyDescent="0.25">
      <c r="B46" s="12"/>
      <c r="C46" s="13"/>
      <c r="D46" s="13"/>
      <c r="E46" s="41"/>
      <c r="F46" s="15"/>
      <c r="G46" s="15"/>
      <c r="H46" s="15"/>
      <c r="I46" s="15"/>
      <c r="J46" s="15"/>
      <c r="K46" s="15"/>
      <c r="L46" s="16"/>
      <c r="M46" s="20"/>
      <c r="N46" s="18"/>
      <c r="O46" s="18"/>
      <c r="P46" s="18"/>
      <c r="Q46" s="51"/>
      <c r="R46" s="51"/>
      <c r="S46" s="51"/>
      <c r="T46" s="51"/>
    </row>
    <row r="47" spans="2:20" ht="15" customHeight="1" x14ac:dyDescent="0.25">
      <c r="B47" s="12"/>
      <c r="C47" s="13"/>
      <c r="D47" s="13"/>
      <c r="E47" s="41"/>
      <c r="F47" s="15"/>
      <c r="G47" s="15"/>
      <c r="H47" s="15"/>
      <c r="I47" s="15"/>
      <c r="J47" s="15"/>
      <c r="K47" s="15"/>
      <c r="L47" s="16"/>
      <c r="M47" s="20"/>
      <c r="N47" s="18"/>
      <c r="O47" s="18"/>
      <c r="P47" s="18"/>
      <c r="Q47" s="51"/>
      <c r="R47" s="51"/>
      <c r="S47" s="51"/>
      <c r="T47" s="51"/>
    </row>
    <row r="48" spans="2:20" x14ac:dyDescent="0.25">
      <c r="B48" s="36"/>
      <c r="C48" s="40"/>
      <c r="D48" s="40"/>
      <c r="E48" s="41"/>
      <c r="F48" s="38"/>
      <c r="G48" s="38"/>
      <c r="H48" s="38"/>
      <c r="I48" s="38"/>
      <c r="J48" s="38"/>
      <c r="K48" s="38"/>
      <c r="L48" s="39"/>
      <c r="M48" s="34"/>
      <c r="N48" s="107"/>
      <c r="O48" s="29"/>
      <c r="P48" s="29"/>
    </row>
    <row r="49" spans="2:19" x14ac:dyDescent="0.25">
      <c r="C49" s="40"/>
      <c r="D49" s="40"/>
      <c r="E49" s="41"/>
      <c r="F49" s="71"/>
      <c r="G49" s="71"/>
      <c r="H49" s="71"/>
      <c r="I49" s="71"/>
      <c r="J49" s="71"/>
      <c r="K49" s="71"/>
      <c r="L49" s="33"/>
      <c r="M49" s="31"/>
      <c r="N49" s="107"/>
    </row>
    <row r="50" spans="2:19" x14ac:dyDescent="0.25">
      <c r="C50" s="40"/>
      <c r="D50" s="40"/>
      <c r="E50" s="41"/>
      <c r="F50" s="71"/>
      <c r="G50" s="71"/>
      <c r="H50" s="71"/>
      <c r="I50" s="71"/>
      <c r="J50" s="71"/>
      <c r="K50" s="71"/>
      <c r="L50" s="33"/>
      <c r="M50" s="31"/>
      <c r="N50" s="108"/>
      <c r="Q50" s="325" t="s">
        <v>343</v>
      </c>
      <c r="R50" s="325"/>
      <c r="S50" s="327">
        <f>S16</f>
        <v>128634.87</v>
      </c>
    </row>
    <row r="51" spans="2:19" x14ac:dyDescent="0.25">
      <c r="C51" s="40"/>
      <c r="D51" s="40"/>
      <c r="E51" s="41"/>
      <c r="F51" s="71"/>
      <c r="G51" s="71"/>
      <c r="H51" s="71"/>
      <c r="I51" s="71"/>
      <c r="J51" s="71"/>
      <c r="K51" s="71"/>
      <c r="L51" s="33"/>
      <c r="M51" s="35"/>
      <c r="N51" s="37"/>
      <c r="O51" s="37"/>
      <c r="P51" s="29"/>
    </row>
    <row r="52" spans="2:19" ht="15" customHeight="1" x14ac:dyDescent="0.25">
      <c r="B52" s="36"/>
      <c r="C52" s="40"/>
      <c r="D52" s="40"/>
      <c r="E52" s="41"/>
      <c r="F52" s="38"/>
      <c r="G52" s="38"/>
      <c r="H52" s="38"/>
      <c r="I52" s="38"/>
      <c r="J52" s="38"/>
      <c r="K52" s="38"/>
      <c r="L52" s="33"/>
      <c r="M52" s="31"/>
      <c r="N52" s="101"/>
      <c r="O52" s="101"/>
      <c r="P52" s="29"/>
    </row>
    <row r="53" spans="2:19" x14ac:dyDescent="0.25">
      <c r="B53" s="36"/>
      <c r="C53" s="40"/>
      <c r="D53" s="40"/>
      <c r="E53" s="41"/>
      <c r="F53" s="38"/>
      <c r="G53" s="38"/>
      <c r="H53" s="38"/>
      <c r="I53" s="38"/>
      <c r="J53" s="38"/>
      <c r="K53" s="38"/>
      <c r="L53" s="33"/>
      <c r="M53" s="31"/>
      <c r="N53" s="101"/>
      <c r="O53" s="101"/>
      <c r="P53" s="29"/>
    </row>
    <row r="54" spans="2:19" x14ac:dyDescent="0.25">
      <c r="B54" s="36"/>
      <c r="C54" s="40"/>
      <c r="D54" s="40"/>
      <c r="E54" s="41"/>
      <c r="F54" s="38"/>
      <c r="G54" s="38"/>
      <c r="H54" s="38"/>
      <c r="I54" s="38"/>
      <c r="J54" s="38"/>
      <c r="K54" s="38"/>
      <c r="L54" s="33"/>
      <c r="M54" s="31"/>
      <c r="N54" s="101"/>
      <c r="O54" s="101"/>
      <c r="P54" s="29"/>
    </row>
    <row r="55" spans="2:19" ht="16.5" customHeight="1" x14ac:dyDescent="0.25">
      <c r="B55" s="36"/>
      <c r="C55" s="40"/>
      <c r="D55" s="40"/>
      <c r="E55" s="41"/>
      <c r="F55" s="38"/>
      <c r="G55" s="38"/>
      <c r="H55" s="38"/>
      <c r="I55" s="38"/>
      <c r="J55" s="38"/>
      <c r="K55" s="38"/>
      <c r="L55" s="39"/>
      <c r="M55" s="20"/>
      <c r="N55" s="101"/>
      <c r="O55" s="101"/>
      <c r="P55" s="29"/>
    </row>
    <row r="56" spans="2:19" ht="15" hidden="1" customHeight="1" x14ac:dyDescent="0.25"/>
    <row r="57" spans="2:19" ht="15" customHeight="1" x14ac:dyDescent="0.25">
      <c r="E57" s="21"/>
      <c r="F57" s="105"/>
      <c r="G57" s="105"/>
      <c r="H57" s="105"/>
      <c r="I57" s="105"/>
      <c r="J57" s="105"/>
      <c r="K57" s="105"/>
    </row>
    <row r="60" spans="2:19" ht="15" customHeight="1" x14ac:dyDescent="0.25"/>
  </sheetData>
  <mergeCells count="6">
    <mergeCell ref="B26:F26"/>
    <mergeCell ref="Q2:S2"/>
    <mergeCell ref="Q1:S1"/>
    <mergeCell ref="B21:E21"/>
    <mergeCell ref="B23:E23"/>
    <mergeCell ref="B25:F25"/>
  </mergeCells>
  <hyperlinks>
    <hyperlink ref="B26" r:id="rId1"/>
  </hyperlinks>
  <printOptions horizontalCentered="1" gridLines="1"/>
  <pageMargins left="0" right="0" top="0.75" bottom="0.75" header="0.3" footer="0.3"/>
  <pageSetup scale="54" orientation="landscape" horizontalDpi="1200" verticalDpi="1200"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3"/>
  <sheetViews>
    <sheetView topLeftCell="D17" zoomScale="90" zoomScaleNormal="90" workbookViewId="0">
      <selection activeCell="T50" sqref="T50"/>
    </sheetView>
  </sheetViews>
  <sheetFormatPr defaultColWidth="9.140625" defaultRowHeight="15" x14ac:dyDescent="0.25"/>
  <cols>
    <col min="1" max="1" width="9.140625" style="2" hidden="1" customWidth="1"/>
    <col min="2" max="2" width="60.140625" style="2" customWidth="1"/>
    <col min="3" max="3" width="26.7109375" style="2" customWidth="1"/>
    <col min="4" max="4" width="13.7109375" style="2" customWidth="1"/>
    <col min="5" max="5" width="18.28515625" style="2" customWidth="1"/>
    <col min="6" max="6" width="21.85546875" style="2" customWidth="1"/>
    <col min="7" max="7" width="10.28515625" style="2" customWidth="1"/>
    <col min="8" max="8" width="12.85546875" style="2" customWidth="1"/>
    <col min="9" max="9" width="13.42578125" style="2" customWidth="1"/>
    <col min="10" max="10" width="15.7109375" style="2" customWidth="1"/>
    <col min="11" max="11" width="8.85546875" style="2" customWidth="1"/>
    <col min="12" max="12" width="17.5703125" style="2" customWidth="1"/>
    <col min="13" max="13" width="13.28515625" style="2" bestFit="1" customWidth="1"/>
    <col min="14" max="14" width="13.7109375" style="2" customWidth="1"/>
    <col min="15" max="15" width="14.42578125" style="2" customWidth="1"/>
    <col min="16" max="16" width="3.140625" style="2" customWidth="1"/>
    <col min="17" max="17" width="14.5703125" style="2" customWidth="1"/>
    <col min="18" max="18" width="14.140625" style="2" customWidth="1"/>
    <col min="19" max="19" width="16.7109375" style="2" customWidth="1"/>
    <col min="20" max="16384" width="9.140625" style="2"/>
  </cols>
  <sheetData>
    <row r="1" spans="1:20" ht="18" customHeight="1" x14ac:dyDescent="0.25">
      <c r="A1" s="2" t="s">
        <v>342</v>
      </c>
      <c r="B1" s="1" t="s">
        <v>91</v>
      </c>
      <c r="Q1" s="335" t="s">
        <v>230</v>
      </c>
      <c r="R1" s="335"/>
      <c r="S1" s="335"/>
    </row>
    <row r="2" spans="1:20" ht="18" customHeight="1" x14ac:dyDescent="0.25">
      <c r="B2" s="90" t="s">
        <v>148</v>
      </c>
      <c r="C2" s="187">
        <v>44377</v>
      </c>
      <c r="M2" s="73"/>
      <c r="N2" s="73"/>
      <c r="P2" s="29"/>
      <c r="Q2" s="334" t="s">
        <v>338</v>
      </c>
      <c r="R2" s="334"/>
      <c r="S2" s="334"/>
    </row>
    <row r="3" spans="1:20" ht="18" customHeight="1" thickBot="1" x14ac:dyDescent="0.3">
      <c r="A3" s="2" t="s">
        <v>16</v>
      </c>
      <c r="B3" s="44" t="s">
        <v>87</v>
      </c>
      <c r="C3" s="8"/>
      <c r="D3" s="8"/>
      <c r="E3" s="8"/>
      <c r="P3" s="29"/>
      <c r="Q3" s="45"/>
      <c r="R3" s="30"/>
    </row>
    <row r="4" spans="1:20" ht="18.75" customHeight="1" x14ac:dyDescent="0.25">
      <c r="B4" s="8" t="s">
        <v>174</v>
      </c>
      <c r="M4" s="87" t="s">
        <v>28</v>
      </c>
      <c r="N4" s="87" t="s">
        <v>28</v>
      </c>
      <c r="O4" s="87" t="s">
        <v>28</v>
      </c>
      <c r="P4" s="9"/>
      <c r="Q4" s="91" t="s">
        <v>29</v>
      </c>
      <c r="R4" s="91" t="s">
        <v>31</v>
      </c>
      <c r="S4" s="91" t="s">
        <v>23</v>
      </c>
      <c r="T4" s="7"/>
    </row>
    <row r="5" spans="1:20" ht="15.75" thickBot="1" x14ac:dyDescent="0.3">
      <c r="G5" s="188" t="s">
        <v>231</v>
      </c>
      <c r="H5" s="188" t="s">
        <v>231</v>
      </c>
      <c r="M5" s="88" t="s">
        <v>27</v>
      </c>
      <c r="N5" s="88" t="s">
        <v>26</v>
      </c>
      <c r="O5" s="88" t="s">
        <v>25</v>
      </c>
      <c r="P5" s="9"/>
      <c r="Q5" s="92" t="s">
        <v>30</v>
      </c>
      <c r="R5" s="92" t="s">
        <v>30</v>
      </c>
      <c r="S5" s="92" t="s">
        <v>30</v>
      </c>
      <c r="T5" s="7"/>
    </row>
    <row r="6" spans="1:20" ht="85.5" customHeight="1" thickBot="1" x14ac:dyDescent="0.3">
      <c r="B6" s="86" t="s">
        <v>1</v>
      </c>
      <c r="C6" s="86" t="s">
        <v>127</v>
      </c>
      <c r="D6" s="86" t="s">
        <v>107</v>
      </c>
      <c r="E6" s="86" t="s">
        <v>3</v>
      </c>
      <c r="F6" s="86" t="s">
        <v>4</v>
      </c>
      <c r="G6" s="110" t="s">
        <v>136</v>
      </c>
      <c r="H6" s="110" t="s">
        <v>137</v>
      </c>
      <c r="I6" s="110" t="s">
        <v>133</v>
      </c>
      <c r="J6" s="110" t="s">
        <v>134</v>
      </c>
      <c r="K6" s="110" t="s">
        <v>121</v>
      </c>
      <c r="L6" s="85" t="s">
        <v>5</v>
      </c>
      <c r="M6" s="89" t="s">
        <v>6</v>
      </c>
      <c r="N6" s="89" t="s">
        <v>6</v>
      </c>
      <c r="O6" s="89" t="s">
        <v>6</v>
      </c>
      <c r="P6" s="9"/>
      <c r="Q6" s="93"/>
      <c r="R6" s="99" t="s">
        <v>32</v>
      </c>
      <c r="S6" s="100" t="s">
        <v>33</v>
      </c>
    </row>
    <row r="7" spans="1:20" ht="30.75" customHeight="1" x14ac:dyDescent="0.25">
      <c r="B7" s="2" t="s">
        <v>8</v>
      </c>
      <c r="C7" s="94" t="s">
        <v>106</v>
      </c>
      <c r="D7" s="94" t="s">
        <v>246</v>
      </c>
      <c r="E7" s="2" t="s">
        <v>232</v>
      </c>
      <c r="F7" s="2" t="s">
        <v>7</v>
      </c>
      <c r="G7" s="191">
        <v>2.9600000000000001E-2</v>
      </c>
      <c r="H7" s="191">
        <v>0.1744</v>
      </c>
      <c r="I7" s="192">
        <v>44377</v>
      </c>
      <c r="J7" s="192">
        <v>44378</v>
      </c>
      <c r="K7" s="192">
        <v>44013</v>
      </c>
      <c r="L7" s="193" t="s">
        <v>234</v>
      </c>
      <c r="M7" s="69">
        <v>171572.34</v>
      </c>
      <c r="N7" s="149">
        <f>171766.84-M7</f>
        <v>194.5</v>
      </c>
      <c r="O7" s="69">
        <f t="shared" ref="O7:O15" si="0">M7+N7</f>
        <v>171766.84</v>
      </c>
      <c r="P7" s="29"/>
      <c r="Q7" s="69">
        <f>43810.31+37327.54+42671.08+24892.9+12487.02</f>
        <v>161188.85</v>
      </c>
      <c r="R7" s="69"/>
      <c r="S7" s="70">
        <f>SUM(Q7:R7)</f>
        <v>161188.85</v>
      </c>
    </row>
    <row r="8" spans="1:20" ht="34.5" customHeight="1" x14ac:dyDescent="0.25">
      <c r="B8" s="2" t="s">
        <v>128</v>
      </c>
      <c r="C8" s="231" t="s">
        <v>122</v>
      </c>
      <c r="D8" s="95" t="s">
        <v>171</v>
      </c>
      <c r="E8" s="2" t="s">
        <v>233</v>
      </c>
      <c r="F8" s="2" t="s">
        <v>7</v>
      </c>
      <c r="G8" s="191">
        <f>G7</f>
        <v>2.9600000000000001E-2</v>
      </c>
      <c r="H8" s="191">
        <f>H7</f>
        <v>0.1744</v>
      </c>
      <c r="I8" s="192">
        <f>I7</f>
        <v>44377</v>
      </c>
      <c r="J8" s="192">
        <f>J7</f>
        <v>44378</v>
      </c>
      <c r="K8" s="192">
        <v>43282</v>
      </c>
      <c r="L8" s="193" t="str">
        <f>L7</f>
        <v>07/01/20 - 06/30/21</v>
      </c>
      <c r="M8" s="69">
        <v>14200.86</v>
      </c>
      <c r="N8" s="149">
        <v>0</v>
      </c>
      <c r="O8" s="69">
        <f t="shared" si="0"/>
        <v>14200.86</v>
      </c>
      <c r="P8" s="29"/>
      <c r="Q8" s="69">
        <v>14200.86</v>
      </c>
      <c r="R8" s="69"/>
      <c r="S8" s="70">
        <f>SUM(Q8:R8)</f>
        <v>14200.86</v>
      </c>
    </row>
    <row r="9" spans="1:20" ht="37.5" customHeight="1" x14ac:dyDescent="0.25">
      <c r="B9" s="2" t="s">
        <v>241</v>
      </c>
      <c r="C9" s="243" t="s">
        <v>242</v>
      </c>
      <c r="D9" s="95" t="s">
        <v>243</v>
      </c>
      <c r="E9" s="2" t="s">
        <v>244</v>
      </c>
      <c r="F9" s="2" t="s">
        <v>7</v>
      </c>
      <c r="G9" s="191">
        <v>2.9600000000000001E-2</v>
      </c>
      <c r="H9" s="191">
        <v>0.1744</v>
      </c>
      <c r="I9" s="192">
        <v>44834</v>
      </c>
      <c r="J9" s="192">
        <v>44849</v>
      </c>
      <c r="K9" s="192">
        <v>43614</v>
      </c>
      <c r="L9" s="193" t="s">
        <v>311</v>
      </c>
      <c r="M9" s="69">
        <v>100765.51</v>
      </c>
      <c r="N9" s="149"/>
      <c r="O9" s="69">
        <f t="shared" si="0"/>
        <v>100765.51</v>
      </c>
      <c r="P9" s="29"/>
      <c r="Q9" s="69"/>
      <c r="R9" s="69"/>
      <c r="S9" s="70">
        <f>SUM(Q9:R9)</f>
        <v>0</v>
      </c>
    </row>
    <row r="10" spans="1:20" ht="37.5" customHeight="1" x14ac:dyDescent="0.25">
      <c r="B10" s="2" t="s">
        <v>283</v>
      </c>
      <c r="C10" s="243" t="s">
        <v>264</v>
      </c>
      <c r="D10" s="95" t="s">
        <v>254</v>
      </c>
      <c r="E10" s="2" t="s">
        <v>284</v>
      </c>
      <c r="F10" s="2" t="s">
        <v>7</v>
      </c>
      <c r="G10" s="191">
        <f t="shared" ref="G10:H11" si="1">+G9</f>
        <v>2.9600000000000001E-2</v>
      </c>
      <c r="H10" s="191">
        <f t="shared" si="1"/>
        <v>0.1744</v>
      </c>
      <c r="I10" s="192">
        <v>44377</v>
      </c>
      <c r="J10" s="192">
        <v>44392</v>
      </c>
      <c r="K10" s="192">
        <v>43613</v>
      </c>
      <c r="L10" s="193" t="s">
        <v>234</v>
      </c>
      <c r="M10" s="81">
        <v>7302.48</v>
      </c>
      <c r="N10" s="69"/>
      <c r="O10" s="69">
        <f t="shared" si="0"/>
        <v>7302.48</v>
      </c>
      <c r="P10" s="69"/>
      <c r="Q10" s="69"/>
      <c r="R10" s="69"/>
      <c r="S10" s="70">
        <f>Q10+R10</f>
        <v>0</v>
      </c>
    </row>
    <row r="11" spans="1:20" ht="37.5" customHeight="1" x14ac:dyDescent="0.25">
      <c r="B11" s="2" t="s">
        <v>289</v>
      </c>
      <c r="C11" s="243" t="s">
        <v>292</v>
      </c>
      <c r="D11" s="95" t="s">
        <v>290</v>
      </c>
      <c r="E11" s="2" t="s">
        <v>291</v>
      </c>
      <c r="F11" s="2" t="s">
        <v>7</v>
      </c>
      <c r="G11" s="191">
        <f t="shared" si="1"/>
        <v>2.9600000000000001E-2</v>
      </c>
      <c r="H11" s="191">
        <f t="shared" si="1"/>
        <v>0.1744</v>
      </c>
      <c r="I11" s="192">
        <v>44439</v>
      </c>
      <c r="J11" s="192">
        <v>44454</v>
      </c>
      <c r="K11" s="192">
        <v>44013</v>
      </c>
      <c r="L11" s="193" t="s">
        <v>331</v>
      </c>
      <c r="M11" s="81">
        <v>2000</v>
      </c>
      <c r="N11" s="69">
        <f>2093.15+730.57</f>
        <v>2823.7200000000003</v>
      </c>
      <c r="O11" s="69">
        <f t="shared" si="0"/>
        <v>4823.72</v>
      </c>
      <c r="P11" s="69"/>
      <c r="Q11" s="69">
        <f>2000+2093.15+730.57</f>
        <v>4823.72</v>
      </c>
      <c r="R11" s="69"/>
      <c r="S11" s="70">
        <f>Q11+R11</f>
        <v>4823.72</v>
      </c>
    </row>
    <row r="12" spans="1:20" ht="29.25" customHeight="1" x14ac:dyDescent="0.25">
      <c r="B12" s="2" t="s">
        <v>314</v>
      </c>
      <c r="C12" s="243" t="s">
        <v>242</v>
      </c>
      <c r="D12" s="95" t="s">
        <v>243</v>
      </c>
      <c r="E12" s="2" t="s">
        <v>315</v>
      </c>
      <c r="F12" s="2" t="s">
        <v>7</v>
      </c>
      <c r="G12" s="313">
        <f>+G10</f>
        <v>2.9600000000000001E-2</v>
      </c>
      <c r="H12" s="313">
        <f>+H10</f>
        <v>0.1744</v>
      </c>
      <c r="I12" s="312">
        <v>44773</v>
      </c>
      <c r="J12" s="312">
        <v>44788</v>
      </c>
      <c r="K12" s="192">
        <v>43980</v>
      </c>
      <c r="L12" s="193" t="s">
        <v>316</v>
      </c>
      <c r="M12" s="81">
        <v>5423.71</v>
      </c>
      <c r="N12" s="72"/>
      <c r="O12" s="69">
        <f t="shared" si="0"/>
        <v>5423.71</v>
      </c>
      <c r="P12" s="69"/>
      <c r="Q12" s="69"/>
      <c r="R12" s="69"/>
      <c r="S12" s="70">
        <f>Q12+R12</f>
        <v>0</v>
      </c>
    </row>
    <row r="13" spans="1:20" ht="29.25" customHeight="1" x14ac:dyDescent="0.25">
      <c r="B13" s="2" t="s">
        <v>318</v>
      </c>
      <c r="C13" s="243" t="s">
        <v>242</v>
      </c>
      <c r="D13" s="95" t="s">
        <v>243</v>
      </c>
      <c r="E13" s="2" t="s">
        <v>319</v>
      </c>
      <c r="F13" s="2" t="s">
        <v>7</v>
      </c>
      <c r="G13" s="191">
        <v>2.9600000000000001E-2</v>
      </c>
      <c r="H13" s="191">
        <v>0.1744</v>
      </c>
      <c r="I13" s="192">
        <v>44561</v>
      </c>
      <c r="J13" s="192">
        <v>44576</v>
      </c>
      <c r="K13" s="192">
        <v>43980</v>
      </c>
      <c r="L13" s="193" t="s">
        <v>320</v>
      </c>
      <c r="M13" s="81">
        <v>3000</v>
      </c>
      <c r="N13" s="69"/>
      <c r="O13" s="69">
        <f t="shared" si="0"/>
        <v>3000</v>
      </c>
      <c r="P13" s="68"/>
      <c r="Q13" s="69"/>
      <c r="R13" s="69"/>
      <c r="S13" s="70">
        <f t="shared" ref="S13:S15" si="2">Q13+R13</f>
        <v>0</v>
      </c>
    </row>
    <row r="14" spans="1:20" ht="29.25" customHeight="1" x14ac:dyDescent="0.25">
      <c r="B14" s="2" t="s">
        <v>321</v>
      </c>
      <c r="C14" s="243" t="s">
        <v>264</v>
      </c>
      <c r="D14" s="95" t="s">
        <v>254</v>
      </c>
      <c r="E14" s="2" t="s">
        <v>322</v>
      </c>
      <c r="F14" s="2" t="s">
        <v>7</v>
      </c>
      <c r="G14" s="191">
        <v>2.9600000000000001E-2</v>
      </c>
      <c r="H14" s="191">
        <v>0.1744</v>
      </c>
      <c r="I14" s="192">
        <v>44742</v>
      </c>
      <c r="J14" s="192">
        <v>44757</v>
      </c>
      <c r="K14" s="192">
        <v>43979</v>
      </c>
      <c r="L14" s="193" t="s">
        <v>323</v>
      </c>
      <c r="M14" s="81">
        <v>1027</v>
      </c>
      <c r="N14" s="69"/>
      <c r="O14" s="69">
        <f t="shared" si="0"/>
        <v>1027</v>
      </c>
      <c r="P14" s="68"/>
      <c r="Q14" s="69"/>
      <c r="R14" s="69"/>
      <c r="S14" s="70">
        <f t="shared" si="2"/>
        <v>0</v>
      </c>
    </row>
    <row r="15" spans="1:20" ht="29.25" customHeight="1" x14ac:dyDescent="0.25">
      <c r="B15" s="2" t="s">
        <v>327</v>
      </c>
      <c r="C15" s="243" t="s">
        <v>242</v>
      </c>
      <c r="D15" s="95" t="s">
        <v>328</v>
      </c>
      <c r="E15" s="2" t="s">
        <v>329</v>
      </c>
      <c r="F15" s="2" t="s">
        <v>7</v>
      </c>
      <c r="G15" s="191">
        <v>2.9600000000000001E-2</v>
      </c>
      <c r="H15" s="191">
        <v>0.1744</v>
      </c>
      <c r="I15" s="192">
        <v>44440</v>
      </c>
      <c r="J15" s="192">
        <v>44440</v>
      </c>
      <c r="K15" s="192">
        <v>44201</v>
      </c>
      <c r="L15" s="193" t="s">
        <v>330</v>
      </c>
      <c r="M15" s="81">
        <v>227874.55</v>
      </c>
      <c r="N15" s="69"/>
      <c r="O15" s="69">
        <f t="shared" si="0"/>
        <v>227874.55</v>
      </c>
      <c r="P15" s="68"/>
      <c r="Q15" s="69">
        <v>73357</v>
      </c>
      <c r="R15" s="69"/>
      <c r="S15" s="70">
        <f t="shared" si="2"/>
        <v>73357</v>
      </c>
    </row>
    <row r="16" spans="1:20" x14ac:dyDescent="0.25">
      <c r="G16" s="191"/>
      <c r="H16" s="191"/>
      <c r="I16" s="192"/>
      <c r="J16" s="192"/>
      <c r="K16" s="192"/>
      <c r="L16" s="193"/>
      <c r="M16" s="25"/>
      <c r="N16" s="25"/>
      <c r="O16" s="25"/>
      <c r="P16" s="29"/>
      <c r="Q16" s="25"/>
      <c r="R16" s="25"/>
      <c r="S16" s="26"/>
    </row>
    <row r="17" spans="2:19" ht="22.5" customHeight="1" x14ac:dyDescent="0.25">
      <c r="C17" s="94"/>
      <c r="D17" s="94"/>
      <c r="G17" s="126"/>
      <c r="H17" s="127"/>
      <c r="I17" s="119"/>
      <c r="J17" s="119"/>
      <c r="K17" s="119"/>
      <c r="L17" s="5" t="s">
        <v>38</v>
      </c>
      <c r="M17" s="68">
        <f>SUM(M7:M16)</f>
        <v>533166.44999999995</v>
      </c>
      <c r="N17" s="68">
        <f t="shared" ref="N17:S17" si="3">SUM(N7:N16)</f>
        <v>3018.2200000000003</v>
      </c>
      <c r="O17" s="68">
        <f t="shared" si="3"/>
        <v>536184.66999999993</v>
      </c>
      <c r="P17" s="68"/>
      <c r="Q17" s="68">
        <f t="shared" si="3"/>
        <v>253570.43000000002</v>
      </c>
      <c r="R17" s="68">
        <f t="shared" si="3"/>
        <v>0</v>
      </c>
      <c r="S17" s="23">
        <f t="shared" si="3"/>
        <v>253570.43000000002</v>
      </c>
    </row>
    <row r="18" spans="2:19" x14ac:dyDescent="0.25">
      <c r="C18" s="94"/>
      <c r="D18" s="94"/>
      <c r="I18" s="119"/>
      <c r="J18" s="119"/>
      <c r="K18" s="119"/>
      <c r="L18" s="5"/>
      <c r="M18" s="68"/>
      <c r="N18" s="150"/>
      <c r="O18" s="68"/>
      <c r="Q18" s="68"/>
      <c r="R18" s="68"/>
      <c r="S18" s="70"/>
    </row>
    <row r="19" spans="2:19" x14ac:dyDescent="0.25">
      <c r="C19" s="94"/>
      <c r="D19" s="94"/>
      <c r="I19" s="119"/>
      <c r="J19" s="119"/>
      <c r="K19" s="119"/>
      <c r="L19" s="5"/>
      <c r="M19" s="68"/>
      <c r="N19" s="150"/>
      <c r="O19" s="68"/>
      <c r="Q19" s="68"/>
      <c r="R19" s="68"/>
      <c r="S19" s="70"/>
    </row>
    <row r="20" spans="2:19" x14ac:dyDescent="0.25">
      <c r="B20" s="8" t="s">
        <v>125</v>
      </c>
      <c r="C20" s="94"/>
      <c r="D20" s="94"/>
      <c r="L20" s="5"/>
      <c r="M20" s="68"/>
      <c r="N20" s="68"/>
      <c r="O20" s="68"/>
      <c r="Q20" s="68"/>
      <c r="R20" s="68"/>
      <c r="S20" s="70"/>
    </row>
    <row r="21" spans="2:19" ht="30" customHeight="1" x14ac:dyDescent="0.25">
      <c r="B21" s="338" t="s">
        <v>126</v>
      </c>
      <c r="C21" s="338"/>
      <c r="D21" s="338"/>
      <c r="E21" s="338"/>
      <c r="L21" s="5"/>
      <c r="M21" s="68"/>
      <c r="N21" s="68"/>
      <c r="O21" s="68"/>
      <c r="Q21" s="68"/>
      <c r="R21" s="68"/>
      <c r="S21" s="70"/>
    </row>
    <row r="22" spans="2:19" x14ac:dyDescent="0.25">
      <c r="C22" s="94"/>
      <c r="D22" s="94"/>
      <c r="L22" s="5"/>
      <c r="M22" s="68"/>
      <c r="N22" s="68"/>
      <c r="O22" s="68"/>
      <c r="Q22" s="68"/>
      <c r="R22" s="68"/>
      <c r="S22" s="70"/>
    </row>
    <row r="23" spans="2:19" ht="57.75" customHeight="1" x14ac:dyDescent="0.25">
      <c r="B23" s="338" t="s">
        <v>129</v>
      </c>
      <c r="C23" s="338"/>
      <c r="D23" s="338"/>
      <c r="E23" s="338"/>
      <c r="L23" s="5"/>
      <c r="M23" s="68"/>
      <c r="N23" s="68"/>
      <c r="O23" s="68"/>
      <c r="Q23" s="68"/>
      <c r="R23" s="68"/>
      <c r="S23" s="70"/>
    </row>
    <row r="24" spans="2:19" x14ac:dyDescent="0.25">
      <c r="B24" s="198"/>
      <c r="C24" s="198"/>
      <c r="D24" s="198"/>
      <c r="E24" s="198"/>
      <c r="L24" s="5"/>
      <c r="M24" s="68"/>
      <c r="N24" s="68"/>
      <c r="O24" s="68"/>
      <c r="Q24" s="68"/>
      <c r="R24" s="68"/>
      <c r="S24" s="70"/>
    </row>
    <row r="25" spans="2:19" ht="31.5" customHeight="1" x14ac:dyDescent="0.25">
      <c r="B25" s="338" t="s">
        <v>160</v>
      </c>
      <c r="C25" s="338"/>
      <c r="D25" s="338"/>
      <c r="E25" s="338"/>
      <c r="F25" s="338"/>
      <c r="L25" s="5"/>
      <c r="M25" s="68"/>
      <c r="N25" s="68"/>
      <c r="O25" s="68"/>
      <c r="Q25" s="68"/>
      <c r="R25" s="68"/>
      <c r="S25" s="70"/>
    </row>
    <row r="26" spans="2:19" ht="15" customHeight="1" x14ac:dyDescent="0.25">
      <c r="B26" s="346" t="s">
        <v>159</v>
      </c>
      <c r="C26" s="338"/>
      <c r="D26" s="338"/>
      <c r="E26" s="338"/>
      <c r="F26" s="338"/>
      <c r="L26" s="5"/>
      <c r="M26" s="68"/>
      <c r="N26" s="68"/>
      <c r="O26" s="68"/>
      <c r="Q26" s="68"/>
      <c r="R26" s="68"/>
      <c r="S26" s="70"/>
    </row>
    <row r="27" spans="2:19" ht="15" customHeight="1" x14ac:dyDescent="0.25">
      <c r="B27" s="200"/>
      <c r="C27" s="200"/>
      <c r="D27" s="200"/>
      <c r="E27" s="200"/>
      <c r="L27" s="5"/>
      <c r="M27" s="68"/>
      <c r="N27" s="68"/>
      <c r="O27" s="68"/>
      <c r="Q27" s="68"/>
      <c r="R27" s="68"/>
      <c r="S27" s="70"/>
    </row>
    <row r="28" spans="2:19" x14ac:dyDescent="0.25">
      <c r="B28" s="111"/>
      <c r="C28" s="111"/>
      <c r="D28" s="111"/>
      <c r="E28" s="111"/>
      <c r="L28" s="5"/>
      <c r="M28" s="68"/>
      <c r="N28" s="68"/>
      <c r="O28" s="68"/>
      <c r="Q28" s="68"/>
      <c r="R28" s="68"/>
      <c r="S28" s="70"/>
    </row>
    <row r="29" spans="2:19" x14ac:dyDescent="0.25">
      <c r="B29" s="7" t="s">
        <v>109</v>
      </c>
      <c r="C29" s="104" t="s">
        <v>112</v>
      </c>
      <c r="D29" s="104" t="s">
        <v>113</v>
      </c>
      <c r="E29" s="111"/>
      <c r="L29" s="5"/>
      <c r="M29" s="68"/>
      <c r="N29" s="68"/>
      <c r="O29" s="68"/>
      <c r="Q29" s="68"/>
      <c r="R29" s="68"/>
      <c r="S29" s="70"/>
    </row>
    <row r="30" spans="2:19" x14ac:dyDescent="0.25">
      <c r="B30" s="2" t="s">
        <v>110</v>
      </c>
      <c r="C30" s="94" t="s">
        <v>116</v>
      </c>
      <c r="D30" s="94" t="s">
        <v>118</v>
      </c>
      <c r="E30" s="111"/>
      <c r="L30" s="5"/>
      <c r="M30" s="68"/>
      <c r="N30" s="68"/>
      <c r="O30" s="68"/>
      <c r="Q30" s="68"/>
      <c r="R30" s="68"/>
      <c r="S30" s="70"/>
    </row>
    <row r="31" spans="2:19" x14ac:dyDescent="0.25">
      <c r="B31" s="2" t="s">
        <v>252</v>
      </c>
      <c r="C31" s="94" t="s">
        <v>135</v>
      </c>
      <c r="D31" s="94" t="s">
        <v>147</v>
      </c>
      <c r="L31" s="5"/>
      <c r="M31" s="68"/>
      <c r="N31" s="68"/>
      <c r="O31" s="68"/>
      <c r="Q31" s="68"/>
      <c r="R31" s="68"/>
      <c r="S31" s="70"/>
    </row>
    <row r="32" spans="2:19" x14ac:dyDescent="0.25">
      <c r="B32" s="2" t="s">
        <v>260</v>
      </c>
      <c r="C32" s="94" t="s">
        <v>135</v>
      </c>
      <c r="D32" s="94" t="s">
        <v>147</v>
      </c>
      <c r="L32" s="5"/>
      <c r="M32" s="68"/>
      <c r="N32" s="68"/>
      <c r="O32" s="68"/>
      <c r="Q32" s="68"/>
      <c r="R32" s="68"/>
      <c r="S32" s="70"/>
    </row>
    <row r="33" spans="2:20" x14ac:dyDescent="0.25">
      <c r="B33" s="2" t="s">
        <v>297</v>
      </c>
      <c r="C33" s="94" t="s">
        <v>180</v>
      </c>
      <c r="D33" s="94" t="s">
        <v>181</v>
      </c>
      <c r="L33" s="5"/>
      <c r="M33" s="68"/>
      <c r="N33" s="68"/>
      <c r="O33" s="68"/>
      <c r="Q33" s="68"/>
      <c r="R33" s="68"/>
      <c r="S33" s="70"/>
    </row>
    <row r="34" spans="2:20" x14ac:dyDescent="0.25">
      <c r="B34" s="2" t="s">
        <v>314</v>
      </c>
      <c r="C34" s="94" t="s">
        <v>135</v>
      </c>
      <c r="D34" s="94" t="s">
        <v>147</v>
      </c>
      <c r="L34" s="5"/>
      <c r="M34" s="68"/>
      <c r="N34" s="68"/>
      <c r="O34" s="68"/>
      <c r="Q34" s="68"/>
      <c r="R34" s="68"/>
      <c r="S34" s="70"/>
    </row>
    <row r="35" spans="2:20" x14ac:dyDescent="0.25">
      <c r="B35" s="2" t="s">
        <v>318</v>
      </c>
      <c r="C35" s="94" t="s">
        <v>135</v>
      </c>
      <c r="D35" s="94" t="s">
        <v>147</v>
      </c>
      <c r="L35" s="5"/>
      <c r="M35" s="68"/>
      <c r="N35" s="68"/>
      <c r="O35" s="68"/>
      <c r="Q35" s="68"/>
      <c r="R35" s="68"/>
      <c r="S35" s="70"/>
    </row>
    <row r="36" spans="2:20" x14ac:dyDescent="0.25">
      <c r="B36" s="2" t="s">
        <v>321</v>
      </c>
      <c r="C36" s="94" t="s">
        <v>135</v>
      </c>
      <c r="D36" s="94" t="s">
        <v>147</v>
      </c>
      <c r="L36" s="5"/>
      <c r="M36" s="68"/>
      <c r="N36" s="68"/>
      <c r="O36" s="68"/>
      <c r="Q36" s="68"/>
      <c r="R36" s="68"/>
      <c r="S36" s="70"/>
    </row>
    <row r="37" spans="2:20" x14ac:dyDescent="0.25">
      <c r="B37" s="2" t="s">
        <v>326</v>
      </c>
      <c r="C37" s="94" t="s">
        <v>135</v>
      </c>
      <c r="D37" s="94" t="s">
        <v>147</v>
      </c>
      <c r="L37" s="5"/>
      <c r="M37" s="68"/>
      <c r="N37" s="68"/>
      <c r="O37" s="68"/>
      <c r="Q37" s="68"/>
      <c r="R37" s="68"/>
      <c r="S37" s="70"/>
    </row>
    <row r="38" spans="2:20" x14ac:dyDescent="0.25">
      <c r="C38" s="94"/>
      <c r="D38" s="94"/>
      <c r="L38" s="5"/>
      <c r="M38" s="68"/>
      <c r="N38" s="68"/>
      <c r="O38" s="68"/>
      <c r="Q38" s="68"/>
      <c r="R38" s="68"/>
      <c r="S38" s="70"/>
    </row>
    <row r="39" spans="2:20" x14ac:dyDescent="0.25">
      <c r="B39" s="269" t="s">
        <v>235</v>
      </c>
      <c r="C39" s="94"/>
      <c r="D39" s="94"/>
      <c r="L39" s="5"/>
      <c r="M39" s="68"/>
      <c r="N39" s="68"/>
      <c r="O39" s="68"/>
      <c r="Q39" s="68"/>
      <c r="R39" s="68"/>
      <c r="S39" s="70"/>
    </row>
    <row r="40" spans="2:20" x14ac:dyDescent="0.25">
      <c r="B40" s="333" t="s">
        <v>236</v>
      </c>
      <c r="C40" s="333"/>
      <c r="D40" s="333"/>
      <c r="E40" s="333"/>
      <c r="F40" s="333"/>
      <c r="G40" s="333"/>
      <c r="H40" s="333"/>
      <c r="L40" s="5"/>
      <c r="M40" s="68"/>
      <c r="N40" s="68"/>
      <c r="O40" s="68"/>
      <c r="Q40" s="68"/>
      <c r="R40" s="68"/>
      <c r="S40" s="70"/>
    </row>
    <row r="41" spans="2:20" ht="15" customHeight="1" x14ac:dyDescent="0.25">
      <c r="B41" s="227"/>
      <c r="C41" s="223"/>
      <c r="D41" s="223"/>
      <c r="E41" s="10"/>
      <c r="F41" s="10"/>
      <c r="G41" s="10"/>
      <c r="H41" s="10"/>
      <c r="I41" s="10"/>
      <c r="J41" s="10"/>
      <c r="K41" s="10"/>
      <c r="L41" s="224"/>
      <c r="M41" s="25"/>
      <c r="N41" s="25"/>
      <c r="O41" s="25"/>
      <c r="P41" s="10"/>
      <c r="Q41" s="25"/>
      <c r="R41" s="25"/>
      <c r="S41" s="26"/>
    </row>
    <row r="42" spans="2:20" ht="15" customHeight="1" x14ac:dyDescent="0.25">
      <c r="P42" s="29"/>
      <c r="Q42" s="58" t="s">
        <v>90</v>
      </c>
      <c r="R42" s="51"/>
      <c r="S42" s="172"/>
    </row>
    <row r="43" spans="2:20" ht="15" customHeight="1" x14ac:dyDescent="0.25">
      <c r="B43" s="17" t="s">
        <v>39</v>
      </c>
      <c r="C43" s="98" t="s">
        <v>2</v>
      </c>
      <c r="D43" s="98"/>
      <c r="E43" s="98" t="s">
        <v>34</v>
      </c>
      <c r="F43" s="98" t="s">
        <v>35</v>
      </c>
      <c r="G43" s="123"/>
      <c r="H43" s="123"/>
      <c r="I43" s="117"/>
      <c r="J43" s="98"/>
      <c r="K43" s="98"/>
      <c r="L43" s="98" t="s">
        <v>36</v>
      </c>
      <c r="M43" s="216" t="s">
        <v>37</v>
      </c>
      <c r="N43" s="10"/>
      <c r="O43" s="10"/>
      <c r="P43" s="10"/>
      <c r="Q43" s="54" t="s">
        <v>88</v>
      </c>
      <c r="R43" s="54"/>
      <c r="S43" s="55"/>
    </row>
    <row r="44" spans="2:20" x14ac:dyDescent="0.25">
      <c r="B44" s="65"/>
      <c r="C44" s="9"/>
      <c r="D44" s="9"/>
      <c r="E44" s="9"/>
      <c r="F44" s="9"/>
      <c r="G44" s="9"/>
      <c r="H44" s="9"/>
      <c r="I44" s="9"/>
      <c r="J44" s="9"/>
      <c r="K44" s="9"/>
      <c r="L44" s="9"/>
      <c r="M44" s="9"/>
    </row>
    <row r="45" spans="2:20" x14ac:dyDescent="0.25">
      <c r="B45" s="65"/>
      <c r="C45" s="9"/>
      <c r="D45" s="9"/>
      <c r="E45" s="9"/>
      <c r="F45" s="9"/>
      <c r="G45" s="9"/>
      <c r="H45" s="9"/>
      <c r="I45" s="9"/>
      <c r="J45" s="9"/>
      <c r="K45" s="9"/>
      <c r="L45" s="9"/>
      <c r="M45" s="9"/>
      <c r="Q45" s="58"/>
      <c r="R45" s="51"/>
      <c r="S45" s="51"/>
    </row>
    <row r="46" spans="2:20" x14ac:dyDescent="0.25">
      <c r="B46" s="12"/>
      <c r="C46" s="13"/>
      <c r="D46" s="13"/>
      <c r="E46" s="41"/>
      <c r="F46" s="15"/>
      <c r="G46" s="15"/>
      <c r="H46" s="15"/>
      <c r="I46" s="15"/>
      <c r="J46" s="15"/>
      <c r="K46" s="15"/>
      <c r="L46" s="16"/>
      <c r="M46" s="20"/>
      <c r="N46" s="46"/>
      <c r="O46" s="46"/>
      <c r="P46" s="46"/>
      <c r="R46" s="51"/>
      <c r="S46" s="51"/>
      <c r="T46" s="51"/>
    </row>
    <row r="47" spans="2:20" ht="15" customHeight="1" x14ac:dyDescent="0.25">
      <c r="B47" s="12"/>
      <c r="C47" s="13"/>
      <c r="D47" s="13"/>
      <c r="E47" s="41"/>
      <c r="F47" s="15"/>
      <c r="G47" s="15"/>
      <c r="H47" s="15"/>
      <c r="I47" s="15"/>
      <c r="J47" s="15"/>
      <c r="K47" s="15"/>
      <c r="L47" s="16"/>
      <c r="M47" s="20"/>
      <c r="N47" s="18"/>
      <c r="O47" s="18"/>
      <c r="P47" s="18"/>
      <c r="Q47" s="51"/>
      <c r="R47" s="51"/>
      <c r="S47" s="51"/>
      <c r="T47" s="51"/>
    </row>
    <row r="48" spans="2:20" ht="15" customHeight="1" x14ac:dyDescent="0.25">
      <c r="B48" s="12"/>
      <c r="C48" s="13"/>
      <c r="D48" s="13"/>
      <c r="E48" s="41"/>
      <c r="F48" s="15"/>
      <c r="G48" s="15"/>
      <c r="H48" s="15"/>
      <c r="I48" s="15"/>
      <c r="J48" s="15"/>
      <c r="K48" s="15"/>
      <c r="L48" s="16"/>
      <c r="M48" s="20"/>
      <c r="N48" s="18"/>
      <c r="O48" s="18"/>
      <c r="P48" s="18"/>
      <c r="Q48" s="51"/>
      <c r="R48" s="51"/>
      <c r="S48" s="51"/>
      <c r="T48" s="51"/>
    </row>
    <row r="49" spans="2:20" ht="15" customHeight="1" x14ac:dyDescent="0.25">
      <c r="B49" s="12"/>
      <c r="C49" s="13"/>
      <c r="D49" s="13"/>
      <c r="E49" s="41"/>
      <c r="F49" s="15"/>
      <c r="G49" s="15"/>
      <c r="H49" s="15"/>
      <c r="I49" s="15"/>
      <c r="J49" s="15"/>
      <c r="K49" s="15"/>
      <c r="L49" s="16"/>
      <c r="M49" s="20"/>
      <c r="N49" s="18"/>
      <c r="O49" s="18"/>
      <c r="P49" s="18"/>
      <c r="Q49" s="51"/>
      <c r="R49" s="51"/>
      <c r="S49" s="51"/>
      <c r="T49" s="51"/>
    </row>
    <row r="50" spans="2:20" ht="15" customHeight="1" x14ac:dyDescent="0.25">
      <c r="B50" s="12"/>
      <c r="C50" s="13"/>
      <c r="D50" s="13"/>
      <c r="E50" s="41"/>
      <c r="F50" s="15"/>
      <c r="G50" s="15"/>
      <c r="H50" s="15"/>
      <c r="I50" s="15"/>
      <c r="J50" s="15"/>
      <c r="K50" s="15"/>
      <c r="L50" s="16"/>
      <c r="M50" s="20"/>
      <c r="N50" s="18"/>
      <c r="O50" s="18"/>
      <c r="P50" s="18"/>
      <c r="Q50" s="325" t="s">
        <v>343</v>
      </c>
      <c r="R50" s="325"/>
      <c r="S50" s="327">
        <f>S17</f>
        <v>253570.43000000002</v>
      </c>
      <c r="T50" s="51"/>
    </row>
    <row r="51" spans="2:20" x14ac:dyDescent="0.25">
      <c r="B51" s="36"/>
      <c r="C51" s="40"/>
      <c r="D51" s="40"/>
      <c r="E51" s="41"/>
      <c r="F51" s="38"/>
      <c r="G51" s="38"/>
      <c r="H51" s="38"/>
      <c r="I51" s="38"/>
      <c r="J51" s="38"/>
      <c r="K51" s="38"/>
      <c r="L51" s="39"/>
      <c r="M51" s="34"/>
      <c r="N51" s="107"/>
      <c r="O51" s="29"/>
      <c r="P51" s="29"/>
    </row>
    <row r="52" spans="2:20" x14ac:dyDescent="0.25">
      <c r="C52" s="40"/>
      <c r="D52" s="40"/>
      <c r="E52" s="41"/>
      <c r="F52" s="71"/>
      <c r="G52" s="71"/>
      <c r="H52" s="71"/>
      <c r="I52" s="71"/>
      <c r="J52" s="71"/>
      <c r="K52" s="71"/>
      <c r="L52" s="33"/>
      <c r="M52" s="31"/>
      <c r="N52" s="107"/>
    </row>
    <row r="53" spans="2:20" x14ac:dyDescent="0.25">
      <c r="C53" s="40"/>
      <c r="D53" s="40"/>
      <c r="E53" s="41"/>
      <c r="F53" s="71"/>
      <c r="G53" s="71"/>
      <c r="H53" s="71"/>
      <c r="I53" s="71"/>
      <c r="J53" s="71"/>
      <c r="K53" s="71"/>
      <c r="L53" s="33"/>
      <c r="M53" s="31"/>
      <c r="N53" s="108"/>
    </row>
    <row r="54" spans="2:20" x14ac:dyDescent="0.25">
      <c r="C54" s="40"/>
      <c r="D54" s="40"/>
      <c r="E54" s="41"/>
      <c r="F54" s="71"/>
      <c r="G54" s="71"/>
      <c r="H54" s="71"/>
      <c r="I54" s="71"/>
      <c r="J54" s="71"/>
      <c r="K54" s="71"/>
      <c r="L54" s="33"/>
      <c r="M54" s="35"/>
      <c r="N54" s="37"/>
      <c r="O54" s="37"/>
      <c r="P54" s="29"/>
    </row>
    <row r="55" spans="2:20" ht="15" customHeight="1" x14ac:dyDescent="0.25">
      <c r="B55" s="36"/>
      <c r="C55" s="40"/>
      <c r="D55" s="40"/>
      <c r="E55" s="41"/>
      <c r="F55" s="38"/>
      <c r="G55" s="38"/>
      <c r="H55" s="38"/>
      <c r="I55" s="38"/>
      <c r="J55" s="38"/>
      <c r="K55" s="38"/>
      <c r="L55" s="33"/>
      <c r="M55" s="31"/>
      <c r="N55" s="101"/>
      <c r="O55" s="101"/>
      <c r="P55" s="29"/>
    </row>
    <row r="56" spans="2:20" x14ac:dyDescent="0.25">
      <c r="B56" s="36"/>
      <c r="C56" s="40"/>
      <c r="D56" s="40"/>
      <c r="E56" s="41"/>
      <c r="F56" s="38"/>
      <c r="G56" s="38"/>
      <c r="H56" s="38"/>
      <c r="I56" s="38"/>
      <c r="J56" s="38"/>
      <c r="K56" s="38"/>
      <c r="L56" s="33"/>
      <c r="M56" s="31"/>
      <c r="N56" s="101"/>
      <c r="O56" s="101"/>
      <c r="P56" s="29"/>
    </row>
    <row r="57" spans="2:20" x14ac:dyDescent="0.25">
      <c r="B57" s="36"/>
      <c r="C57" s="40"/>
      <c r="D57" s="40"/>
      <c r="E57" s="41"/>
      <c r="F57" s="38"/>
      <c r="G57" s="38"/>
      <c r="H57" s="38"/>
      <c r="I57" s="38"/>
      <c r="J57" s="38"/>
      <c r="K57" s="38"/>
      <c r="L57" s="33"/>
      <c r="M57" s="31"/>
      <c r="N57" s="101"/>
      <c r="O57" s="101"/>
      <c r="P57" s="29"/>
    </row>
    <row r="58" spans="2:20" ht="16.5" customHeight="1" x14ac:dyDescent="0.25">
      <c r="B58" s="36"/>
      <c r="C58" s="40"/>
      <c r="D58" s="40"/>
      <c r="E58" s="41"/>
      <c r="F58" s="38"/>
      <c r="G58" s="38"/>
      <c r="H58" s="38"/>
      <c r="I58" s="38"/>
      <c r="J58" s="38"/>
      <c r="K58" s="38"/>
      <c r="L58" s="39"/>
      <c r="M58" s="20"/>
      <c r="N58" s="101"/>
      <c r="O58" s="101"/>
      <c r="P58" s="29"/>
    </row>
    <row r="59" spans="2:20" ht="15" hidden="1" customHeight="1" x14ac:dyDescent="0.25"/>
    <row r="60" spans="2:20" ht="15" customHeight="1" x14ac:dyDescent="0.25">
      <c r="E60" s="21"/>
      <c r="F60" s="105"/>
      <c r="G60" s="105"/>
      <c r="H60" s="105"/>
      <c r="I60" s="105"/>
      <c r="J60" s="105"/>
      <c r="K60" s="105"/>
    </row>
    <row r="63" spans="2:20" ht="15" customHeight="1" x14ac:dyDescent="0.25"/>
  </sheetData>
  <mergeCells count="7">
    <mergeCell ref="B40:H40"/>
    <mergeCell ref="B26:F26"/>
    <mergeCell ref="Q1:S1"/>
    <mergeCell ref="Q2:S2"/>
    <mergeCell ref="B21:E21"/>
    <mergeCell ref="B23:E23"/>
    <mergeCell ref="B25:F25"/>
  </mergeCells>
  <hyperlinks>
    <hyperlink ref="B26" r:id="rId1"/>
  </hyperlinks>
  <printOptions horizontalCentered="1" gridLines="1"/>
  <pageMargins left="0" right="0" top="0.75" bottom="0.75" header="0.3" footer="0.3"/>
  <pageSetup scale="54" orientation="landscape" horizontalDpi="1200" verticalDpi="1200"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1"/>
  <sheetViews>
    <sheetView topLeftCell="C17" zoomScale="90" zoomScaleNormal="90" workbookViewId="0">
      <selection activeCell="T50" sqref="T50"/>
    </sheetView>
  </sheetViews>
  <sheetFormatPr defaultColWidth="9.140625" defaultRowHeight="15" x14ac:dyDescent="0.25"/>
  <cols>
    <col min="1" max="1" width="9.140625" style="2" hidden="1" customWidth="1"/>
    <col min="2" max="2" width="57.140625" style="2" customWidth="1"/>
    <col min="3" max="3" width="27.28515625" style="2" customWidth="1"/>
    <col min="4" max="4" width="13.7109375" style="2" customWidth="1"/>
    <col min="5" max="5" width="18" style="2" customWidth="1"/>
    <col min="6" max="6" width="22.28515625" style="2" customWidth="1"/>
    <col min="7" max="7" width="10.28515625" style="2" customWidth="1"/>
    <col min="8" max="8" width="12.85546875" style="2" customWidth="1"/>
    <col min="9" max="9" width="13.42578125" style="2" customWidth="1"/>
    <col min="10" max="10" width="15.7109375" style="2" customWidth="1"/>
    <col min="11" max="11" width="8.85546875" style="2" customWidth="1"/>
    <col min="12" max="12" width="18" style="2" customWidth="1"/>
    <col min="13" max="13" width="13.28515625" style="2" bestFit="1" customWidth="1"/>
    <col min="14" max="14" width="13.7109375" style="2" customWidth="1"/>
    <col min="15" max="15" width="14.42578125" style="2" customWidth="1"/>
    <col min="16" max="16" width="3.140625" style="2" customWidth="1"/>
    <col min="17" max="17" width="13.85546875" style="2" customWidth="1"/>
    <col min="18" max="18" width="14.140625" style="2" customWidth="1"/>
    <col min="19" max="19" width="16.7109375" style="2" customWidth="1"/>
    <col min="20" max="16384" width="9.140625" style="2"/>
  </cols>
  <sheetData>
    <row r="1" spans="1:20" ht="18" customHeight="1" x14ac:dyDescent="0.25">
      <c r="A1" s="2" t="s">
        <v>342</v>
      </c>
      <c r="B1" s="1" t="s">
        <v>24</v>
      </c>
      <c r="Q1" s="335" t="s">
        <v>230</v>
      </c>
      <c r="R1" s="335"/>
      <c r="S1" s="335"/>
    </row>
    <row r="2" spans="1:20" ht="18" customHeight="1" x14ac:dyDescent="0.25">
      <c r="B2" s="90" t="s">
        <v>148</v>
      </c>
      <c r="C2" s="187">
        <v>44377</v>
      </c>
      <c r="M2" s="73"/>
      <c r="N2" s="73"/>
      <c r="P2" s="29"/>
      <c r="Q2" s="334" t="s">
        <v>338</v>
      </c>
      <c r="R2" s="334"/>
      <c r="S2" s="334"/>
    </row>
    <row r="3" spans="1:20" ht="18" customHeight="1" thickBot="1" x14ac:dyDescent="0.3">
      <c r="A3" s="2" t="s">
        <v>16</v>
      </c>
      <c r="B3" s="44" t="s">
        <v>69</v>
      </c>
      <c r="C3" s="8"/>
      <c r="D3" s="8"/>
      <c r="E3" s="8"/>
      <c r="P3" s="29"/>
      <c r="Q3" s="45"/>
      <c r="R3" s="30"/>
    </row>
    <row r="4" spans="1:20" ht="18.75" customHeight="1" x14ac:dyDescent="0.25">
      <c r="B4" s="8" t="s">
        <v>174</v>
      </c>
      <c r="M4" s="87" t="s">
        <v>28</v>
      </c>
      <c r="N4" s="87" t="s">
        <v>28</v>
      </c>
      <c r="O4" s="87" t="s">
        <v>28</v>
      </c>
      <c r="P4" s="9"/>
      <c r="Q4" s="91" t="s">
        <v>29</v>
      </c>
      <c r="R4" s="91" t="s">
        <v>31</v>
      </c>
      <c r="S4" s="91" t="s">
        <v>23</v>
      </c>
      <c r="T4" s="7"/>
    </row>
    <row r="5" spans="1:20" ht="15.75" thickBot="1" x14ac:dyDescent="0.3">
      <c r="G5" s="188" t="s">
        <v>231</v>
      </c>
      <c r="H5" s="188" t="s">
        <v>231</v>
      </c>
      <c r="M5" s="88" t="s">
        <v>27</v>
      </c>
      <c r="N5" s="88" t="s">
        <v>26</v>
      </c>
      <c r="O5" s="88" t="s">
        <v>25</v>
      </c>
      <c r="P5" s="9"/>
      <c r="Q5" s="92" t="s">
        <v>30</v>
      </c>
      <c r="R5" s="92" t="s">
        <v>30</v>
      </c>
      <c r="S5" s="92" t="s">
        <v>30</v>
      </c>
      <c r="T5" s="7"/>
    </row>
    <row r="6" spans="1:20" ht="85.5" customHeight="1" thickBot="1" x14ac:dyDescent="0.3">
      <c r="B6" s="86" t="s">
        <v>1</v>
      </c>
      <c r="C6" s="86" t="s">
        <v>127</v>
      </c>
      <c r="D6" s="86" t="s">
        <v>107</v>
      </c>
      <c r="E6" s="86" t="s">
        <v>3</v>
      </c>
      <c r="F6" s="86" t="s">
        <v>4</v>
      </c>
      <c r="G6" s="110" t="s">
        <v>136</v>
      </c>
      <c r="H6" s="110" t="s">
        <v>137</v>
      </c>
      <c r="I6" s="110" t="s">
        <v>133</v>
      </c>
      <c r="J6" s="110" t="s">
        <v>134</v>
      </c>
      <c r="K6" s="110" t="s">
        <v>121</v>
      </c>
      <c r="L6" s="85" t="s">
        <v>5</v>
      </c>
      <c r="M6" s="89" t="s">
        <v>6</v>
      </c>
      <c r="N6" s="89" t="s">
        <v>6</v>
      </c>
      <c r="O6" s="89" t="s">
        <v>6</v>
      </c>
      <c r="P6" s="9"/>
      <c r="Q6" s="93"/>
      <c r="R6" s="99" t="s">
        <v>32</v>
      </c>
      <c r="S6" s="100" t="s">
        <v>33</v>
      </c>
    </row>
    <row r="7" spans="1:20" ht="30.75" customHeight="1" x14ac:dyDescent="0.25">
      <c r="B7" s="2" t="s">
        <v>8</v>
      </c>
      <c r="C7" s="94" t="s">
        <v>106</v>
      </c>
      <c r="D7" s="94" t="s">
        <v>246</v>
      </c>
      <c r="E7" s="2" t="s">
        <v>232</v>
      </c>
      <c r="F7" s="2" t="s">
        <v>7</v>
      </c>
      <c r="G7" s="191">
        <v>2.9600000000000001E-2</v>
      </c>
      <c r="H7" s="191">
        <v>0.1744</v>
      </c>
      <c r="I7" s="192">
        <v>44377</v>
      </c>
      <c r="J7" s="192">
        <v>44378</v>
      </c>
      <c r="K7" s="192">
        <v>44013</v>
      </c>
      <c r="L7" s="193" t="s">
        <v>234</v>
      </c>
      <c r="M7" s="61">
        <v>469623.68</v>
      </c>
      <c r="N7" s="72">
        <f>470087.68-M7</f>
        <v>464</v>
      </c>
      <c r="O7" s="69">
        <f>M7+N7</f>
        <v>470087.67999999999</v>
      </c>
      <c r="P7" s="153"/>
      <c r="Q7" s="75">
        <f>80020.98+99395.48+177438.73+86437.74+4539.06</f>
        <v>447831.99</v>
      </c>
      <c r="R7" s="60"/>
      <c r="S7" s="70">
        <f>Q7+R7</f>
        <v>447831.99</v>
      </c>
    </row>
    <row r="8" spans="1:20" ht="36.75" customHeight="1" x14ac:dyDescent="0.25">
      <c r="B8" s="2" t="s">
        <v>128</v>
      </c>
      <c r="C8" s="231" t="s">
        <v>122</v>
      </c>
      <c r="D8" s="95" t="s">
        <v>248</v>
      </c>
      <c r="E8" s="2" t="s">
        <v>233</v>
      </c>
      <c r="F8" s="2" t="s">
        <v>7</v>
      </c>
      <c r="G8" s="191">
        <f>+G7</f>
        <v>2.9600000000000001E-2</v>
      </c>
      <c r="H8" s="191">
        <f t="shared" ref="H8:L8" si="0">+H7</f>
        <v>0.1744</v>
      </c>
      <c r="I8" s="192">
        <f t="shared" si="0"/>
        <v>44377</v>
      </c>
      <c r="J8" s="192">
        <f t="shared" si="0"/>
        <v>44378</v>
      </c>
      <c r="K8" s="192">
        <f t="shared" si="0"/>
        <v>44013</v>
      </c>
      <c r="L8" s="193" t="str">
        <f t="shared" si="0"/>
        <v>07/01/20 - 06/30/21</v>
      </c>
      <c r="M8" s="61">
        <v>30643.96</v>
      </c>
      <c r="N8" s="153"/>
      <c r="O8" s="69">
        <f>M8+N8</f>
        <v>30643.96</v>
      </c>
      <c r="P8" s="153"/>
      <c r="Q8" s="75">
        <v>30643.96</v>
      </c>
      <c r="R8" s="60"/>
      <c r="S8" s="70">
        <f>Q8+R8</f>
        <v>30643.96</v>
      </c>
    </row>
    <row r="9" spans="1:20" ht="36.75" customHeight="1" x14ac:dyDescent="0.25">
      <c r="B9" s="2" t="s">
        <v>241</v>
      </c>
      <c r="C9" s="243" t="s">
        <v>242</v>
      </c>
      <c r="D9" s="95" t="s">
        <v>243</v>
      </c>
      <c r="E9" s="2" t="s">
        <v>244</v>
      </c>
      <c r="F9" s="2" t="s">
        <v>7</v>
      </c>
      <c r="G9" s="191">
        <v>2.9600000000000001E-2</v>
      </c>
      <c r="H9" s="191">
        <v>0.1744</v>
      </c>
      <c r="I9" s="192">
        <v>44834</v>
      </c>
      <c r="J9" s="192">
        <v>44849</v>
      </c>
      <c r="K9" s="192">
        <v>43614</v>
      </c>
      <c r="L9" s="193" t="s">
        <v>311</v>
      </c>
      <c r="M9" s="61">
        <v>201660.15</v>
      </c>
      <c r="N9" s="153"/>
      <c r="O9" s="69">
        <f>M9+N9</f>
        <v>201660.15</v>
      </c>
      <c r="P9" s="153"/>
      <c r="Q9" s="75"/>
      <c r="R9" s="60"/>
      <c r="S9" s="70">
        <f>Q9+R9</f>
        <v>0</v>
      </c>
    </row>
    <row r="10" spans="1:20" ht="36.75" customHeight="1" x14ac:dyDescent="0.25">
      <c r="B10" s="2" t="s">
        <v>283</v>
      </c>
      <c r="C10" s="243" t="s">
        <v>264</v>
      </c>
      <c r="D10" s="95" t="s">
        <v>254</v>
      </c>
      <c r="E10" s="2" t="s">
        <v>284</v>
      </c>
      <c r="F10" s="2" t="s">
        <v>7</v>
      </c>
      <c r="G10" s="191">
        <f t="shared" ref="G10:H10" si="1">+G9</f>
        <v>2.9600000000000001E-2</v>
      </c>
      <c r="H10" s="191">
        <f t="shared" si="1"/>
        <v>0.1744</v>
      </c>
      <c r="I10" s="192">
        <v>44377</v>
      </c>
      <c r="J10" s="192">
        <v>44392</v>
      </c>
      <c r="K10" s="192">
        <v>43613</v>
      </c>
      <c r="L10" s="193" t="s">
        <v>234</v>
      </c>
      <c r="M10" s="81">
        <v>7302.48</v>
      </c>
      <c r="N10" s="69"/>
      <c r="O10" s="69">
        <f>M10+N10</f>
        <v>7302.48</v>
      </c>
      <c r="P10" s="69"/>
      <c r="Q10" s="69"/>
      <c r="R10" s="69"/>
      <c r="S10" s="70">
        <f>Q10+R10</f>
        <v>0</v>
      </c>
    </row>
    <row r="11" spans="1:20" ht="27.75" customHeight="1" x14ac:dyDescent="0.25">
      <c r="B11" s="2" t="s">
        <v>314</v>
      </c>
      <c r="C11" s="243" t="s">
        <v>242</v>
      </c>
      <c r="D11" s="95" t="s">
        <v>243</v>
      </c>
      <c r="E11" s="2" t="s">
        <v>315</v>
      </c>
      <c r="F11" s="2" t="s">
        <v>7</v>
      </c>
      <c r="G11" s="313">
        <f>+G9</f>
        <v>2.9600000000000001E-2</v>
      </c>
      <c r="H11" s="313">
        <f>+H9</f>
        <v>0.1744</v>
      </c>
      <c r="I11" s="312">
        <v>44773</v>
      </c>
      <c r="J11" s="312">
        <v>44788</v>
      </c>
      <c r="K11" s="192">
        <v>43980</v>
      </c>
      <c r="L11" s="193" t="s">
        <v>316</v>
      </c>
      <c r="M11" s="81">
        <v>10360.18</v>
      </c>
      <c r="N11" s="72"/>
      <c r="O11" s="69">
        <f>M11+N11</f>
        <v>10360.18</v>
      </c>
      <c r="P11" s="69"/>
      <c r="Q11" s="69"/>
      <c r="R11" s="69"/>
      <c r="S11" s="70">
        <f>Q11+R11</f>
        <v>0</v>
      </c>
    </row>
    <row r="12" spans="1:20" ht="27.75" customHeight="1" x14ac:dyDescent="0.25">
      <c r="B12" s="2" t="s">
        <v>318</v>
      </c>
      <c r="C12" s="243" t="s">
        <v>242</v>
      </c>
      <c r="D12" s="95" t="s">
        <v>243</v>
      </c>
      <c r="E12" s="2" t="s">
        <v>319</v>
      </c>
      <c r="F12" s="2" t="s">
        <v>7</v>
      </c>
      <c r="G12" s="191">
        <v>2.9600000000000001E-2</v>
      </c>
      <c r="H12" s="191">
        <v>0.1744</v>
      </c>
      <c r="I12" s="192">
        <v>44561</v>
      </c>
      <c r="J12" s="192">
        <v>44576</v>
      </c>
      <c r="K12" s="192">
        <v>43980</v>
      </c>
      <c r="L12" s="193" t="s">
        <v>320</v>
      </c>
      <c r="M12" s="81">
        <v>3000</v>
      </c>
      <c r="N12" s="69"/>
      <c r="O12" s="69">
        <f t="shared" ref="O12:O14" si="2">M12+N12</f>
        <v>3000</v>
      </c>
      <c r="P12" s="68"/>
      <c r="Q12" s="69"/>
      <c r="R12" s="69"/>
      <c r="S12" s="70">
        <f t="shared" ref="S12:S14" si="3">Q12+R12</f>
        <v>0</v>
      </c>
    </row>
    <row r="13" spans="1:20" ht="27.75" customHeight="1" x14ac:dyDescent="0.25">
      <c r="B13" s="2" t="s">
        <v>321</v>
      </c>
      <c r="C13" s="243" t="s">
        <v>264</v>
      </c>
      <c r="D13" s="95" t="s">
        <v>254</v>
      </c>
      <c r="E13" s="2" t="s">
        <v>322</v>
      </c>
      <c r="F13" s="2" t="s">
        <v>7</v>
      </c>
      <c r="G13" s="191">
        <v>2.9600000000000001E-2</v>
      </c>
      <c r="H13" s="191">
        <v>0.1744</v>
      </c>
      <c r="I13" s="192">
        <v>44742</v>
      </c>
      <c r="J13" s="192">
        <v>44757</v>
      </c>
      <c r="K13" s="192">
        <v>43979</v>
      </c>
      <c r="L13" s="193" t="s">
        <v>323</v>
      </c>
      <c r="M13" s="81">
        <v>1027</v>
      </c>
      <c r="N13" s="69"/>
      <c r="O13" s="69">
        <f t="shared" si="2"/>
        <v>1027</v>
      </c>
      <c r="P13" s="68"/>
      <c r="Q13" s="69"/>
      <c r="R13" s="69"/>
      <c r="S13" s="70">
        <f t="shared" si="3"/>
        <v>0</v>
      </c>
    </row>
    <row r="14" spans="1:20" ht="27.75" customHeight="1" x14ac:dyDescent="0.25">
      <c r="B14" s="2" t="s">
        <v>327</v>
      </c>
      <c r="C14" s="243" t="s">
        <v>242</v>
      </c>
      <c r="D14" s="95" t="s">
        <v>328</v>
      </c>
      <c r="E14" s="2" t="s">
        <v>329</v>
      </c>
      <c r="F14" s="2" t="s">
        <v>7</v>
      </c>
      <c r="G14" s="191">
        <v>2.9600000000000001E-2</v>
      </c>
      <c r="H14" s="191">
        <v>0.1744</v>
      </c>
      <c r="I14" s="192">
        <v>44440</v>
      </c>
      <c r="J14" s="192">
        <v>44440</v>
      </c>
      <c r="K14" s="192">
        <v>44201</v>
      </c>
      <c r="L14" s="193" t="s">
        <v>330</v>
      </c>
      <c r="M14" s="81">
        <v>448391.5</v>
      </c>
      <c r="N14" s="69"/>
      <c r="O14" s="69">
        <f t="shared" si="2"/>
        <v>448391.5</v>
      </c>
      <c r="P14" s="68"/>
      <c r="Q14" s="69"/>
      <c r="R14" s="69"/>
      <c r="S14" s="70">
        <f t="shared" si="3"/>
        <v>0</v>
      </c>
    </row>
    <row r="15" spans="1:20" x14ac:dyDescent="0.25">
      <c r="C15" s="94"/>
      <c r="D15" s="94"/>
      <c r="I15" s="119"/>
      <c r="J15" s="119"/>
      <c r="K15" s="119"/>
      <c r="L15" s="95"/>
      <c r="M15" s="25"/>
      <c r="N15" s="25"/>
      <c r="O15" s="25"/>
      <c r="P15" s="29"/>
      <c r="Q15" s="25"/>
      <c r="R15" s="25"/>
      <c r="S15" s="26"/>
    </row>
    <row r="16" spans="1:20" ht="20.25" customHeight="1" x14ac:dyDescent="0.25">
      <c r="B16" s="29"/>
      <c r="C16" s="94"/>
      <c r="D16" s="94"/>
      <c r="L16" s="5" t="s">
        <v>38</v>
      </c>
      <c r="M16" s="68">
        <f>SUM(M7:M15)</f>
        <v>1172008.9500000002</v>
      </c>
      <c r="N16" s="68">
        <f>SUM(N7:N15)</f>
        <v>464</v>
      </c>
      <c r="O16" s="68">
        <f>SUM(O7:O15)</f>
        <v>1172472.9500000002</v>
      </c>
      <c r="Q16" s="68">
        <f>SUM(Q7:Q15)</f>
        <v>478475.95</v>
      </c>
      <c r="R16" s="68">
        <f>SUM(R7:R15)</f>
        <v>0</v>
      </c>
      <c r="S16" s="70">
        <f>SUM(S7:S15)</f>
        <v>478475.95</v>
      </c>
    </row>
    <row r="17" spans="2:19" ht="20.25" customHeight="1" x14ac:dyDescent="0.25">
      <c r="B17" s="29"/>
      <c r="C17" s="94"/>
      <c r="D17" s="94"/>
      <c r="L17" s="5"/>
      <c r="M17" s="68"/>
      <c r="N17" s="68"/>
      <c r="O17" s="68"/>
      <c r="Q17" s="68"/>
      <c r="R17" s="68"/>
      <c r="S17" s="70"/>
    </row>
    <row r="18" spans="2:19" x14ac:dyDescent="0.25">
      <c r="B18" s="8" t="s">
        <v>125</v>
      </c>
      <c r="C18" s="94"/>
      <c r="D18" s="94"/>
      <c r="L18" s="5"/>
      <c r="M18" s="68"/>
      <c r="N18" s="68"/>
      <c r="O18" s="68"/>
      <c r="Q18" s="69"/>
      <c r="R18" s="69"/>
      <c r="S18" s="70"/>
    </row>
    <row r="19" spans="2:19" ht="30" customHeight="1" x14ac:dyDescent="0.25">
      <c r="B19" s="338" t="s">
        <v>126</v>
      </c>
      <c r="C19" s="338"/>
      <c r="D19" s="338"/>
      <c r="E19" s="338"/>
      <c r="L19" s="5"/>
      <c r="M19" s="68"/>
      <c r="N19" s="68"/>
      <c r="O19" s="68"/>
      <c r="Q19" s="69"/>
      <c r="R19" s="69"/>
      <c r="S19" s="70"/>
    </row>
    <row r="20" spans="2:19" x14ac:dyDescent="0.25">
      <c r="C20" s="94"/>
      <c r="D20" s="94"/>
      <c r="L20" s="5"/>
      <c r="M20" s="68"/>
      <c r="N20" s="68"/>
      <c r="O20" s="68"/>
      <c r="Q20" s="69"/>
      <c r="R20" s="69"/>
      <c r="S20" s="70"/>
    </row>
    <row r="21" spans="2:19" ht="57.75" customHeight="1" x14ac:dyDescent="0.25">
      <c r="B21" s="338" t="s">
        <v>129</v>
      </c>
      <c r="C21" s="338"/>
      <c r="D21" s="338"/>
      <c r="E21" s="338"/>
      <c r="L21" s="5"/>
      <c r="M21" s="68"/>
      <c r="N21" s="68"/>
      <c r="O21" s="68"/>
      <c r="Q21" s="69"/>
      <c r="R21" s="69"/>
      <c r="S21" s="70"/>
    </row>
    <row r="22" spans="2:19" x14ac:dyDescent="0.25">
      <c r="B22" s="198"/>
      <c r="C22" s="198"/>
      <c r="D22" s="198"/>
      <c r="E22" s="198"/>
      <c r="L22" s="5"/>
      <c r="M22" s="68"/>
      <c r="N22" s="68"/>
      <c r="O22" s="68"/>
      <c r="Q22" s="69"/>
      <c r="R22" s="69"/>
      <c r="S22" s="70"/>
    </row>
    <row r="23" spans="2:19" ht="32.25" customHeight="1" x14ac:dyDescent="0.25">
      <c r="B23" s="338" t="s">
        <v>160</v>
      </c>
      <c r="C23" s="338"/>
      <c r="D23" s="338"/>
      <c r="E23" s="338"/>
      <c r="F23" s="338"/>
      <c r="L23" s="5"/>
      <c r="M23" s="68"/>
      <c r="N23" s="68"/>
      <c r="O23" s="68"/>
      <c r="Q23" s="69"/>
      <c r="R23" s="69"/>
      <c r="S23" s="70"/>
    </row>
    <row r="24" spans="2:19" ht="15" customHeight="1" x14ac:dyDescent="0.25">
      <c r="B24" s="346" t="s">
        <v>159</v>
      </c>
      <c r="C24" s="338"/>
      <c r="D24" s="338"/>
      <c r="E24" s="338"/>
      <c r="F24" s="338"/>
      <c r="L24" s="5"/>
      <c r="M24" s="68"/>
      <c r="N24" s="68"/>
      <c r="O24" s="68"/>
      <c r="Q24" s="69"/>
      <c r="R24" s="69"/>
      <c r="S24" s="70"/>
    </row>
    <row r="25" spans="2:19" ht="15" customHeight="1" x14ac:dyDescent="0.25">
      <c r="B25" s="200"/>
      <c r="C25" s="200"/>
      <c r="D25" s="200"/>
      <c r="E25" s="200"/>
      <c r="L25" s="5"/>
      <c r="M25" s="68"/>
      <c r="N25" s="68"/>
      <c r="O25" s="68"/>
      <c r="Q25" s="69"/>
      <c r="R25" s="69"/>
      <c r="S25" s="70"/>
    </row>
    <row r="26" spans="2:19" x14ac:dyDescent="0.25">
      <c r="B26" s="111"/>
      <c r="C26" s="111"/>
      <c r="D26" s="111"/>
      <c r="E26" s="111"/>
      <c r="L26" s="5"/>
      <c r="M26" s="68"/>
      <c r="N26" s="68"/>
      <c r="O26" s="68"/>
      <c r="Q26" s="69"/>
      <c r="R26" s="69"/>
      <c r="S26" s="70"/>
    </row>
    <row r="27" spans="2:19" x14ac:dyDescent="0.25">
      <c r="B27" s="7" t="s">
        <v>109</v>
      </c>
      <c r="C27" s="104" t="s">
        <v>112</v>
      </c>
      <c r="D27" s="104" t="s">
        <v>113</v>
      </c>
      <c r="E27" s="111"/>
      <c r="L27" s="5"/>
      <c r="M27" s="68"/>
      <c r="N27" s="68"/>
      <c r="O27" s="68"/>
      <c r="Q27" s="69"/>
      <c r="R27" s="69"/>
      <c r="S27" s="70"/>
    </row>
    <row r="28" spans="2:19" x14ac:dyDescent="0.25">
      <c r="B28" s="2" t="s">
        <v>110</v>
      </c>
      <c r="C28" s="94" t="s">
        <v>116</v>
      </c>
      <c r="D28" s="94" t="s">
        <v>118</v>
      </c>
      <c r="E28" s="111"/>
      <c r="L28" s="5"/>
      <c r="M28" s="68"/>
      <c r="N28" s="68"/>
      <c r="O28" s="68"/>
      <c r="Q28" s="69"/>
      <c r="R28" s="69"/>
      <c r="S28" s="70"/>
    </row>
    <row r="29" spans="2:19" x14ac:dyDescent="0.25">
      <c r="B29" s="106" t="s">
        <v>111</v>
      </c>
      <c r="C29" s="94" t="s">
        <v>114</v>
      </c>
      <c r="D29" s="94" t="s">
        <v>119</v>
      </c>
      <c r="L29" s="5"/>
      <c r="M29" s="68"/>
      <c r="N29" s="68"/>
      <c r="O29" s="68"/>
      <c r="Q29" s="69"/>
      <c r="R29" s="69"/>
      <c r="S29" s="70"/>
    </row>
    <row r="30" spans="2:19" x14ac:dyDescent="0.25">
      <c r="B30" s="2" t="s">
        <v>252</v>
      </c>
      <c r="C30" s="94" t="s">
        <v>135</v>
      </c>
      <c r="D30" s="94" t="s">
        <v>147</v>
      </c>
      <c r="L30" s="5"/>
      <c r="M30" s="68"/>
      <c r="N30" s="68"/>
      <c r="O30" s="68"/>
      <c r="Q30" s="69"/>
      <c r="R30" s="69"/>
      <c r="S30" s="70"/>
    </row>
    <row r="31" spans="2:19" x14ac:dyDescent="0.25">
      <c r="B31" s="2" t="s">
        <v>260</v>
      </c>
      <c r="C31" s="94" t="s">
        <v>135</v>
      </c>
      <c r="D31" s="94" t="s">
        <v>147</v>
      </c>
      <c r="L31" s="5"/>
      <c r="M31" s="68"/>
      <c r="N31" s="68"/>
      <c r="O31" s="68"/>
      <c r="Q31" s="69"/>
      <c r="R31" s="69"/>
      <c r="S31" s="70"/>
    </row>
    <row r="32" spans="2:19" x14ac:dyDescent="0.25">
      <c r="B32" s="2" t="s">
        <v>314</v>
      </c>
      <c r="C32" s="94" t="s">
        <v>135</v>
      </c>
      <c r="D32" s="94" t="s">
        <v>147</v>
      </c>
      <c r="L32" s="5"/>
      <c r="M32" s="68"/>
      <c r="N32" s="68"/>
      <c r="O32" s="68"/>
      <c r="Q32" s="69"/>
      <c r="R32" s="69"/>
      <c r="S32" s="70"/>
    </row>
    <row r="33" spans="2:20" x14ac:dyDescent="0.25">
      <c r="B33" s="2" t="s">
        <v>318</v>
      </c>
      <c r="C33" s="94" t="s">
        <v>135</v>
      </c>
      <c r="D33" s="94" t="s">
        <v>147</v>
      </c>
      <c r="L33" s="5"/>
      <c r="M33" s="68"/>
      <c r="N33" s="68"/>
      <c r="O33" s="68"/>
      <c r="Q33" s="69"/>
      <c r="R33" s="69"/>
      <c r="S33" s="70"/>
    </row>
    <row r="34" spans="2:20" x14ac:dyDescent="0.25">
      <c r="B34" s="2" t="s">
        <v>321</v>
      </c>
      <c r="C34" s="94" t="s">
        <v>135</v>
      </c>
      <c r="D34" s="94" t="s">
        <v>147</v>
      </c>
      <c r="L34" s="5"/>
      <c r="M34" s="68"/>
      <c r="N34" s="68"/>
      <c r="O34" s="68"/>
      <c r="Q34" s="69"/>
      <c r="R34" s="69"/>
      <c r="S34" s="70"/>
    </row>
    <row r="35" spans="2:20" x14ac:dyDescent="0.25">
      <c r="B35" s="2" t="s">
        <v>326</v>
      </c>
      <c r="C35" s="94" t="s">
        <v>135</v>
      </c>
      <c r="D35" s="94" t="s">
        <v>147</v>
      </c>
      <c r="L35" s="5"/>
      <c r="M35" s="68"/>
      <c r="N35" s="68"/>
      <c r="O35" s="68"/>
      <c r="Q35" s="69"/>
      <c r="R35" s="69"/>
      <c r="S35" s="70"/>
    </row>
    <row r="36" spans="2:20" x14ac:dyDescent="0.25">
      <c r="C36" s="94"/>
      <c r="D36" s="94"/>
      <c r="L36" s="5"/>
      <c r="M36" s="68"/>
      <c r="N36" s="68"/>
      <c r="O36" s="68"/>
      <c r="Q36" s="69"/>
      <c r="R36" s="69"/>
      <c r="S36" s="70"/>
    </row>
    <row r="37" spans="2:20" x14ac:dyDescent="0.25">
      <c r="B37" s="347" t="s">
        <v>235</v>
      </c>
      <c r="C37" s="333"/>
      <c r="D37" s="333"/>
      <c r="E37" s="333"/>
      <c r="F37" s="333"/>
      <c r="G37" s="333"/>
      <c r="H37" s="333"/>
      <c r="L37" s="5"/>
      <c r="M37" s="68"/>
      <c r="N37" s="68"/>
      <c r="O37" s="68"/>
      <c r="Q37" s="69"/>
      <c r="R37" s="69"/>
      <c r="S37" s="70"/>
    </row>
    <row r="38" spans="2:20" x14ac:dyDescent="0.25">
      <c r="B38" s="249" t="s">
        <v>236</v>
      </c>
      <c r="C38" s="94"/>
      <c r="D38" s="94"/>
      <c r="L38" s="5"/>
      <c r="M38" s="68"/>
      <c r="N38" s="68"/>
      <c r="O38" s="68"/>
      <c r="Q38" s="69"/>
      <c r="R38" s="69"/>
      <c r="S38" s="70"/>
    </row>
    <row r="39" spans="2:20" x14ac:dyDescent="0.25">
      <c r="B39" s="10"/>
      <c r="C39" s="96"/>
      <c r="D39" s="96"/>
      <c r="E39" s="10"/>
      <c r="F39" s="10"/>
      <c r="G39" s="10"/>
      <c r="H39" s="10"/>
      <c r="I39" s="10"/>
      <c r="J39" s="10"/>
      <c r="K39" s="10"/>
      <c r="L39" s="10"/>
      <c r="M39" s="10"/>
      <c r="N39" s="10"/>
      <c r="O39" s="10"/>
      <c r="P39" s="10"/>
      <c r="Q39" s="10"/>
      <c r="R39" s="10"/>
      <c r="S39" s="28"/>
    </row>
    <row r="40" spans="2:20" ht="15" customHeight="1" x14ac:dyDescent="0.25">
      <c r="N40" s="112"/>
      <c r="O40" s="112"/>
      <c r="P40" s="112"/>
      <c r="Q40" s="175" t="s">
        <v>90</v>
      </c>
      <c r="R40" s="176"/>
      <c r="S40" s="177"/>
    </row>
    <row r="41" spans="2:20" ht="15" customHeight="1" x14ac:dyDescent="0.25">
      <c r="B41" s="17" t="s">
        <v>39</v>
      </c>
      <c r="C41" s="98" t="s">
        <v>2</v>
      </c>
      <c r="D41" s="98"/>
      <c r="E41" s="98" t="s">
        <v>34</v>
      </c>
      <c r="F41" s="98" t="s">
        <v>35</v>
      </c>
      <c r="G41" s="123"/>
      <c r="H41" s="123"/>
      <c r="I41" s="117"/>
      <c r="J41" s="98"/>
      <c r="K41" s="98"/>
      <c r="L41" s="98" t="s">
        <v>36</v>
      </c>
      <c r="M41" s="98" t="s">
        <v>37</v>
      </c>
      <c r="N41" s="10"/>
      <c r="O41" s="10"/>
      <c r="P41" s="10"/>
      <c r="Q41" s="54" t="s">
        <v>88</v>
      </c>
      <c r="R41" s="54"/>
      <c r="S41" s="55"/>
    </row>
    <row r="42" spans="2:20" ht="15" customHeight="1" x14ac:dyDescent="0.25">
      <c r="B42" s="65"/>
      <c r="C42" s="9"/>
      <c r="D42" s="9"/>
      <c r="E42" s="9"/>
      <c r="F42" s="9"/>
      <c r="G42" s="9"/>
      <c r="H42" s="9"/>
      <c r="I42" s="9"/>
      <c r="J42" s="9"/>
      <c r="K42" s="9"/>
      <c r="L42" s="9"/>
      <c r="M42" s="9"/>
      <c r="Q42" s="51"/>
      <c r="R42" s="51"/>
      <c r="S42" s="51"/>
    </row>
    <row r="43" spans="2:20" x14ac:dyDescent="0.25">
      <c r="B43" s="65"/>
      <c r="C43" s="9"/>
      <c r="D43" s="9"/>
      <c r="E43" s="9"/>
      <c r="F43" s="9"/>
      <c r="G43" s="9"/>
      <c r="H43" s="9"/>
      <c r="I43" s="9"/>
      <c r="J43" s="9"/>
      <c r="K43" s="9"/>
      <c r="L43" s="9"/>
      <c r="M43" s="9"/>
      <c r="Q43" s="58"/>
      <c r="R43" s="51"/>
      <c r="S43" s="51"/>
    </row>
    <row r="44" spans="2:20" x14ac:dyDescent="0.25">
      <c r="B44" s="65"/>
      <c r="C44" s="9"/>
      <c r="D44" s="9"/>
      <c r="E44" s="9"/>
      <c r="F44" s="9"/>
      <c r="G44" s="9"/>
      <c r="H44" s="9"/>
      <c r="I44" s="9"/>
      <c r="J44" s="9"/>
      <c r="K44" s="9"/>
      <c r="L44" s="9"/>
      <c r="M44" s="9"/>
      <c r="Q44" s="58"/>
      <c r="R44" s="51"/>
      <c r="S44" s="51"/>
    </row>
    <row r="45" spans="2:20" x14ac:dyDescent="0.25">
      <c r="B45" s="65"/>
      <c r="C45" s="9"/>
      <c r="D45" s="9"/>
      <c r="E45" s="9"/>
      <c r="F45" s="9"/>
      <c r="G45" s="9"/>
      <c r="H45" s="9"/>
      <c r="I45" s="9"/>
      <c r="J45" s="9"/>
      <c r="K45" s="9"/>
      <c r="L45" s="9"/>
      <c r="M45" s="9"/>
      <c r="R45" s="51"/>
      <c r="S45" s="51"/>
    </row>
    <row r="46" spans="2:20" x14ac:dyDescent="0.25">
      <c r="B46" s="65"/>
      <c r="C46" s="9"/>
      <c r="D46" s="9"/>
      <c r="E46" s="9"/>
      <c r="F46" s="9"/>
      <c r="G46" s="9"/>
      <c r="H46" s="9"/>
      <c r="I46" s="9"/>
      <c r="J46" s="9"/>
      <c r="K46" s="9"/>
      <c r="L46" s="9"/>
      <c r="M46" s="20"/>
      <c r="N46" s="46"/>
      <c r="O46" s="46"/>
      <c r="P46" s="46"/>
      <c r="Q46" s="51"/>
      <c r="R46" s="51"/>
      <c r="S46" s="51"/>
    </row>
    <row r="47" spans="2:20" x14ac:dyDescent="0.25">
      <c r="B47" s="12"/>
      <c r="C47" s="13"/>
      <c r="D47" s="13"/>
      <c r="E47" s="41"/>
      <c r="F47" s="15"/>
      <c r="G47" s="15"/>
      <c r="H47" s="15"/>
      <c r="I47" s="15"/>
      <c r="J47" s="15"/>
      <c r="K47" s="15"/>
      <c r="L47" s="16"/>
      <c r="M47" s="20"/>
      <c r="N47" s="18"/>
      <c r="O47" s="18"/>
      <c r="P47" s="18"/>
      <c r="T47" s="51"/>
    </row>
    <row r="48" spans="2:20" ht="15" customHeight="1" x14ac:dyDescent="0.25">
      <c r="B48" s="12"/>
      <c r="C48" s="13"/>
      <c r="D48" s="13"/>
      <c r="E48" s="41"/>
      <c r="F48" s="15"/>
      <c r="G48" s="15"/>
      <c r="H48" s="15"/>
      <c r="I48" s="15"/>
      <c r="J48" s="15"/>
      <c r="K48" s="15"/>
      <c r="L48" s="16"/>
      <c r="M48" s="34"/>
      <c r="N48" s="107"/>
      <c r="O48" s="29"/>
      <c r="P48" s="29"/>
      <c r="T48" s="51"/>
    </row>
    <row r="49" spans="2:19" x14ac:dyDescent="0.25">
      <c r="B49" s="36"/>
      <c r="C49" s="40"/>
      <c r="D49" s="40"/>
      <c r="E49" s="41"/>
      <c r="F49" s="38"/>
      <c r="G49" s="38"/>
      <c r="H49" s="38"/>
      <c r="I49" s="38"/>
      <c r="J49" s="38"/>
      <c r="K49" s="38"/>
      <c r="L49" s="39"/>
      <c r="M49" s="31"/>
      <c r="N49" s="107"/>
    </row>
    <row r="50" spans="2:19" x14ac:dyDescent="0.25">
      <c r="C50" s="40"/>
      <c r="D50" s="40"/>
      <c r="E50" s="41"/>
      <c r="F50" s="71"/>
      <c r="G50" s="71"/>
      <c r="H50" s="71"/>
      <c r="I50" s="71"/>
      <c r="J50" s="71"/>
      <c r="K50" s="71"/>
      <c r="L50" s="33"/>
      <c r="M50" s="31"/>
      <c r="N50" s="108"/>
      <c r="Q50" s="325" t="s">
        <v>343</v>
      </c>
      <c r="R50" s="325"/>
      <c r="S50" s="327">
        <f>S16</f>
        <v>478475.95</v>
      </c>
    </row>
    <row r="51" spans="2:19" x14ac:dyDescent="0.25">
      <c r="C51" s="40"/>
      <c r="D51" s="40"/>
      <c r="E51" s="41"/>
      <c r="F51" s="71"/>
      <c r="G51" s="71"/>
      <c r="H51" s="71"/>
      <c r="I51" s="71"/>
      <c r="J51" s="71"/>
      <c r="K51" s="71"/>
      <c r="L51" s="33"/>
      <c r="M51" s="35"/>
      <c r="N51" s="37"/>
      <c r="O51" s="37"/>
      <c r="P51" s="29"/>
    </row>
    <row r="52" spans="2:19" x14ac:dyDescent="0.25">
      <c r="C52" s="40"/>
      <c r="D52" s="40"/>
      <c r="E52" s="41"/>
      <c r="F52" s="71"/>
      <c r="G52" s="71"/>
      <c r="H52" s="71"/>
      <c r="I52" s="71"/>
      <c r="J52" s="71"/>
      <c r="K52" s="71"/>
      <c r="L52" s="33"/>
      <c r="M52" s="31"/>
      <c r="N52" s="101"/>
      <c r="O52" s="101"/>
      <c r="P52" s="29"/>
    </row>
    <row r="53" spans="2:19" ht="15" customHeight="1" x14ac:dyDescent="0.25">
      <c r="B53" s="36"/>
      <c r="C53" s="40"/>
      <c r="D53" s="40"/>
      <c r="E53" s="41"/>
      <c r="F53" s="38"/>
      <c r="G53" s="38"/>
      <c r="H53" s="38"/>
      <c r="I53" s="38"/>
      <c r="J53" s="38"/>
      <c r="K53" s="38"/>
      <c r="L53" s="33"/>
      <c r="M53" s="31"/>
      <c r="N53" s="101"/>
      <c r="O53" s="101"/>
      <c r="P53" s="29"/>
    </row>
    <row r="54" spans="2:19" x14ac:dyDescent="0.25">
      <c r="B54" s="36"/>
      <c r="C54" s="40"/>
      <c r="D54" s="40"/>
      <c r="E54" s="41"/>
      <c r="F54" s="38"/>
      <c r="G54" s="38"/>
      <c r="H54" s="38"/>
      <c r="I54" s="38"/>
      <c r="J54" s="38"/>
      <c r="K54" s="38"/>
      <c r="L54" s="33"/>
      <c r="M54" s="31"/>
      <c r="N54" s="101"/>
      <c r="O54" s="101"/>
      <c r="P54" s="29"/>
    </row>
    <row r="55" spans="2:19" x14ac:dyDescent="0.25">
      <c r="B55" s="36"/>
      <c r="C55" s="40"/>
      <c r="D55" s="40"/>
      <c r="E55" s="41"/>
      <c r="F55" s="38"/>
      <c r="G55" s="38"/>
      <c r="H55" s="38"/>
      <c r="I55" s="38"/>
      <c r="J55" s="38"/>
      <c r="K55" s="38"/>
      <c r="L55" s="33"/>
      <c r="M55" s="20"/>
      <c r="N55" s="101"/>
      <c r="O55" s="101"/>
      <c r="P55" s="29"/>
    </row>
    <row r="56" spans="2:19" ht="16.5" customHeight="1" x14ac:dyDescent="0.25">
      <c r="B56" s="36"/>
      <c r="C56" s="40"/>
      <c r="D56" s="40"/>
      <c r="E56" s="41"/>
      <c r="F56" s="38"/>
      <c r="G56" s="38"/>
      <c r="H56" s="38"/>
      <c r="I56" s="38"/>
      <c r="J56" s="38"/>
      <c r="K56" s="38"/>
      <c r="L56" s="39"/>
    </row>
    <row r="57" spans="2:19" ht="15" customHeight="1" x14ac:dyDescent="0.25"/>
    <row r="58" spans="2:19" ht="15" customHeight="1" x14ac:dyDescent="0.25">
      <c r="E58" s="21"/>
      <c r="F58" s="105"/>
      <c r="G58" s="105"/>
      <c r="H58" s="105"/>
      <c r="I58" s="105"/>
      <c r="J58" s="105"/>
      <c r="K58" s="105"/>
    </row>
    <row r="61" spans="2:19" ht="15" customHeight="1" x14ac:dyDescent="0.25"/>
  </sheetData>
  <mergeCells count="7">
    <mergeCell ref="B37:H37"/>
    <mergeCell ref="B24:F24"/>
    <mergeCell ref="Q2:S2"/>
    <mergeCell ref="Q1:S1"/>
    <mergeCell ref="B19:E19"/>
    <mergeCell ref="B21:E21"/>
    <mergeCell ref="B23:F23"/>
  </mergeCells>
  <hyperlinks>
    <hyperlink ref="B24" r:id="rId1"/>
  </hyperlinks>
  <printOptions horizontalCentered="1" gridLines="1"/>
  <pageMargins left="0" right="0" top="0.75" bottom="0.75" header="0.3" footer="0.3"/>
  <pageSetup scale="47" orientation="landscape" horizontalDpi="1200" verticalDpi="1200"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8"/>
  <sheetViews>
    <sheetView topLeftCell="C17" zoomScale="90" zoomScaleNormal="90" workbookViewId="0">
      <selection activeCell="C50" sqref="C50"/>
    </sheetView>
  </sheetViews>
  <sheetFormatPr defaultColWidth="9.140625" defaultRowHeight="15" x14ac:dyDescent="0.25"/>
  <cols>
    <col min="1" max="1" width="9.140625" style="2" hidden="1" customWidth="1"/>
    <col min="2" max="2" width="62.5703125" style="2" customWidth="1"/>
    <col min="3" max="3" width="27.7109375" style="2" customWidth="1"/>
    <col min="4" max="4" width="15.7109375" style="2" customWidth="1"/>
    <col min="5" max="5" width="17.85546875" style="2" customWidth="1"/>
    <col min="6" max="6" width="22.28515625" style="2" customWidth="1"/>
    <col min="7" max="7" width="16" style="2" customWidth="1"/>
    <col min="8" max="8" width="13" style="2" customWidth="1"/>
    <col min="9" max="9" width="13.140625" style="2" customWidth="1"/>
    <col min="10" max="10" width="15.5703125" style="2" customWidth="1"/>
    <col min="11" max="11" width="8" style="2" customWidth="1"/>
    <col min="12" max="12" width="17.57031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6.7109375" style="2" customWidth="1"/>
    <col min="20" max="16384" width="9.140625" style="2"/>
  </cols>
  <sheetData>
    <row r="1" spans="1:20" ht="15.6" customHeight="1" x14ac:dyDescent="0.25">
      <c r="A1" s="2" t="s">
        <v>342</v>
      </c>
      <c r="B1" s="1" t="s">
        <v>85</v>
      </c>
      <c r="Q1" s="335" t="s">
        <v>230</v>
      </c>
      <c r="R1" s="335"/>
      <c r="S1" s="335"/>
    </row>
    <row r="2" spans="1:20" x14ac:dyDescent="0.25">
      <c r="B2" s="90" t="s">
        <v>148</v>
      </c>
      <c r="C2" s="187">
        <v>44377</v>
      </c>
      <c r="M2" s="73"/>
      <c r="N2" s="73"/>
      <c r="P2" s="29"/>
      <c r="Q2" s="334" t="s">
        <v>338</v>
      </c>
      <c r="R2" s="334"/>
      <c r="S2" s="334"/>
    </row>
    <row r="3" spans="1:20" ht="15.75" thickBot="1" x14ac:dyDescent="0.3">
      <c r="A3" s="2" t="s">
        <v>16</v>
      </c>
      <c r="B3" s="44" t="s">
        <v>86</v>
      </c>
      <c r="C3" s="8"/>
      <c r="D3" s="8"/>
      <c r="E3" s="8"/>
      <c r="P3" s="29"/>
      <c r="Q3" s="45"/>
      <c r="R3" s="30"/>
    </row>
    <row r="4" spans="1:20" x14ac:dyDescent="0.25">
      <c r="B4" s="8" t="s">
        <v>174</v>
      </c>
      <c r="M4" s="87" t="s">
        <v>28</v>
      </c>
      <c r="N4" s="87" t="s">
        <v>28</v>
      </c>
      <c r="O4" s="87" t="s">
        <v>28</v>
      </c>
      <c r="P4" s="9"/>
      <c r="Q4" s="91" t="s">
        <v>29</v>
      </c>
      <c r="R4" s="91" t="s">
        <v>31</v>
      </c>
      <c r="S4" s="91" t="s">
        <v>23</v>
      </c>
      <c r="T4" s="7"/>
    </row>
    <row r="5" spans="1:20" ht="15.75" thickBot="1" x14ac:dyDescent="0.3">
      <c r="G5" s="188" t="s">
        <v>231</v>
      </c>
      <c r="H5" s="188" t="s">
        <v>231</v>
      </c>
      <c r="M5" s="88" t="s">
        <v>27</v>
      </c>
      <c r="N5" s="88" t="s">
        <v>26</v>
      </c>
      <c r="O5" s="88" t="s">
        <v>25</v>
      </c>
      <c r="P5" s="9"/>
      <c r="Q5" s="92" t="s">
        <v>30</v>
      </c>
      <c r="R5" s="92" t="s">
        <v>30</v>
      </c>
      <c r="S5" s="92" t="s">
        <v>30</v>
      </c>
      <c r="T5" s="7"/>
    </row>
    <row r="6" spans="1:20" ht="85.5" customHeight="1" thickBot="1" x14ac:dyDescent="0.3">
      <c r="B6" s="86" t="s">
        <v>1</v>
      </c>
      <c r="C6" s="86" t="s">
        <v>127</v>
      </c>
      <c r="D6" s="86" t="s">
        <v>107</v>
      </c>
      <c r="E6" s="86" t="s">
        <v>3</v>
      </c>
      <c r="F6" s="86" t="s">
        <v>4</v>
      </c>
      <c r="G6" s="110" t="s">
        <v>136</v>
      </c>
      <c r="H6" s="110" t="s">
        <v>137</v>
      </c>
      <c r="I6" s="110" t="s">
        <v>133</v>
      </c>
      <c r="J6" s="110" t="s">
        <v>134</v>
      </c>
      <c r="K6" s="110" t="s">
        <v>121</v>
      </c>
      <c r="L6" s="85" t="s">
        <v>5</v>
      </c>
      <c r="M6" s="89" t="s">
        <v>6</v>
      </c>
      <c r="N6" s="89" t="s">
        <v>6</v>
      </c>
      <c r="O6" s="89" t="s">
        <v>6</v>
      </c>
      <c r="P6" s="9"/>
      <c r="Q6" s="93"/>
      <c r="R6" s="99" t="s">
        <v>32</v>
      </c>
      <c r="S6" s="100" t="s">
        <v>33</v>
      </c>
    </row>
    <row r="7" spans="1:20" ht="32.25" customHeight="1" x14ac:dyDescent="0.25">
      <c r="B7" s="2" t="s">
        <v>128</v>
      </c>
      <c r="C7" s="231" t="s">
        <v>122</v>
      </c>
      <c r="D7" s="95" t="s">
        <v>248</v>
      </c>
      <c r="E7" s="2" t="s">
        <v>233</v>
      </c>
      <c r="F7" s="2" t="s">
        <v>7</v>
      </c>
      <c r="G7" s="191">
        <v>2.9600000000000001E-2</v>
      </c>
      <c r="H7" s="191">
        <v>0.1744</v>
      </c>
      <c r="I7" s="192">
        <v>44377</v>
      </c>
      <c r="J7" s="192">
        <v>44378</v>
      </c>
      <c r="K7" s="192">
        <v>44013</v>
      </c>
      <c r="L7" s="193" t="s">
        <v>234</v>
      </c>
      <c r="M7" s="61">
        <v>30893.09</v>
      </c>
      <c r="N7" s="82"/>
      <c r="O7" s="61">
        <f>M7+N7</f>
        <v>30893.09</v>
      </c>
      <c r="P7" s="153"/>
      <c r="Q7" s="72">
        <v>30893.09</v>
      </c>
      <c r="R7" s="60"/>
      <c r="S7" s="70">
        <f>Q7+R7</f>
        <v>30893.09</v>
      </c>
    </row>
    <row r="8" spans="1:20" ht="24" hidden="1" customHeight="1" x14ac:dyDescent="0.25">
      <c r="B8" s="2" t="s">
        <v>22</v>
      </c>
      <c r="C8" s="97" t="s">
        <v>184</v>
      </c>
      <c r="D8" s="94" t="s">
        <v>172</v>
      </c>
      <c r="E8" s="2" t="s">
        <v>233</v>
      </c>
      <c r="F8" s="2" t="s">
        <v>7</v>
      </c>
      <c r="G8" s="191">
        <f>+G7</f>
        <v>2.9600000000000001E-2</v>
      </c>
      <c r="H8" s="191">
        <f t="shared" ref="H8:L8" si="0">+H7</f>
        <v>0.1744</v>
      </c>
      <c r="I8" s="192">
        <f t="shared" si="0"/>
        <v>44377</v>
      </c>
      <c r="J8" s="192">
        <f t="shared" si="0"/>
        <v>44378</v>
      </c>
      <c r="K8" s="192">
        <f t="shared" si="0"/>
        <v>44013</v>
      </c>
      <c r="L8" s="193" t="str">
        <f t="shared" si="0"/>
        <v>07/01/20 - 06/30/21</v>
      </c>
      <c r="M8" s="72"/>
      <c r="N8" s="72"/>
      <c r="O8" s="61">
        <f>M8+N8</f>
        <v>0</v>
      </c>
      <c r="P8" s="42"/>
      <c r="Q8" s="43"/>
      <c r="R8" s="69"/>
      <c r="S8" s="70">
        <f>+R8</f>
        <v>0</v>
      </c>
    </row>
    <row r="9" spans="1:20" ht="30" customHeight="1" x14ac:dyDescent="0.25">
      <c r="B9" s="2" t="s">
        <v>241</v>
      </c>
      <c r="C9" s="243" t="s">
        <v>242</v>
      </c>
      <c r="D9" s="95" t="s">
        <v>243</v>
      </c>
      <c r="E9" s="2" t="s">
        <v>244</v>
      </c>
      <c r="F9" s="2" t="s">
        <v>7</v>
      </c>
      <c r="G9" s="191">
        <v>2.9600000000000001E-2</v>
      </c>
      <c r="H9" s="191">
        <v>0.1744</v>
      </c>
      <c r="I9" s="192">
        <v>44834</v>
      </c>
      <c r="J9" s="192">
        <v>44849</v>
      </c>
      <c r="K9" s="192">
        <v>43614</v>
      </c>
      <c r="L9" s="193" t="s">
        <v>311</v>
      </c>
      <c r="M9" s="72">
        <v>153236.96</v>
      </c>
      <c r="N9" s="72"/>
      <c r="O9" s="61">
        <f>M9+N9</f>
        <v>153236.96</v>
      </c>
      <c r="P9" s="42"/>
      <c r="Q9" s="43">
        <v>153236.96</v>
      </c>
      <c r="R9" s="69"/>
      <c r="S9" s="70">
        <f>Q9+R9</f>
        <v>153236.96</v>
      </c>
    </row>
    <row r="10" spans="1:20" ht="30" customHeight="1" x14ac:dyDescent="0.25">
      <c r="B10" s="2" t="s">
        <v>283</v>
      </c>
      <c r="C10" s="243" t="s">
        <v>264</v>
      </c>
      <c r="D10" s="95" t="s">
        <v>254</v>
      </c>
      <c r="E10" s="2" t="s">
        <v>284</v>
      </c>
      <c r="F10" s="2" t="s">
        <v>7</v>
      </c>
      <c r="G10" s="191">
        <f t="shared" ref="G10:H10" si="1">+G9</f>
        <v>2.9600000000000001E-2</v>
      </c>
      <c r="H10" s="191">
        <f t="shared" si="1"/>
        <v>0.1744</v>
      </c>
      <c r="I10" s="192">
        <v>44377</v>
      </c>
      <c r="J10" s="192">
        <v>44392</v>
      </c>
      <c r="K10" s="192">
        <v>43613</v>
      </c>
      <c r="L10" s="193" t="s">
        <v>234</v>
      </c>
      <c r="M10" s="81">
        <v>7302.48</v>
      </c>
      <c r="N10" s="69"/>
      <c r="O10" s="69">
        <f>M10+N10</f>
        <v>7302.48</v>
      </c>
      <c r="P10" s="69"/>
      <c r="Q10" s="69"/>
      <c r="R10" s="69"/>
      <c r="S10" s="70">
        <f>Q10+R10</f>
        <v>0</v>
      </c>
    </row>
    <row r="11" spans="1:20" ht="30" customHeight="1" x14ac:dyDescent="0.25">
      <c r="B11" s="2" t="s">
        <v>318</v>
      </c>
      <c r="C11" s="243" t="s">
        <v>242</v>
      </c>
      <c r="D11" s="95" t="s">
        <v>243</v>
      </c>
      <c r="E11" s="2" t="s">
        <v>319</v>
      </c>
      <c r="F11" s="2" t="s">
        <v>7</v>
      </c>
      <c r="G11" s="191">
        <v>2.9600000000000001E-2</v>
      </c>
      <c r="H11" s="191">
        <v>0.1744</v>
      </c>
      <c r="I11" s="192">
        <v>44561</v>
      </c>
      <c r="J11" s="192">
        <v>44576</v>
      </c>
      <c r="K11" s="192">
        <v>43980</v>
      </c>
      <c r="L11" s="193" t="s">
        <v>320</v>
      </c>
      <c r="M11" s="81">
        <v>3000</v>
      </c>
      <c r="N11" s="69"/>
      <c r="O11" s="69">
        <f t="shared" ref="O11:O13" si="2">M11+N11</f>
        <v>3000</v>
      </c>
      <c r="P11" s="68"/>
      <c r="Q11" s="69"/>
      <c r="R11" s="69"/>
      <c r="S11" s="70">
        <f t="shared" ref="S11:S13" si="3">Q11+R11</f>
        <v>0</v>
      </c>
    </row>
    <row r="12" spans="1:20" ht="30" customHeight="1" x14ac:dyDescent="0.25">
      <c r="B12" s="2" t="s">
        <v>321</v>
      </c>
      <c r="C12" s="243" t="s">
        <v>264</v>
      </c>
      <c r="D12" s="95" t="s">
        <v>254</v>
      </c>
      <c r="E12" s="2" t="s">
        <v>322</v>
      </c>
      <c r="F12" s="2" t="s">
        <v>7</v>
      </c>
      <c r="G12" s="191">
        <v>2.9600000000000001E-2</v>
      </c>
      <c r="H12" s="191">
        <v>0.1744</v>
      </c>
      <c r="I12" s="192">
        <v>44742</v>
      </c>
      <c r="J12" s="192">
        <v>44757</v>
      </c>
      <c r="K12" s="192">
        <v>43979</v>
      </c>
      <c r="L12" s="193" t="s">
        <v>323</v>
      </c>
      <c r="M12" s="81">
        <v>1027</v>
      </c>
      <c r="N12" s="69"/>
      <c r="O12" s="69">
        <f t="shared" si="2"/>
        <v>1027</v>
      </c>
      <c r="P12" s="68"/>
      <c r="Q12" s="69"/>
      <c r="R12" s="69"/>
      <c r="S12" s="70">
        <f t="shared" si="3"/>
        <v>0</v>
      </c>
    </row>
    <row r="13" spans="1:20" ht="30" customHeight="1" x14ac:dyDescent="0.25">
      <c r="B13" s="2" t="s">
        <v>327</v>
      </c>
      <c r="C13" s="243" t="s">
        <v>242</v>
      </c>
      <c r="D13" s="95" t="s">
        <v>328</v>
      </c>
      <c r="E13" s="2" t="s">
        <v>329</v>
      </c>
      <c r="F13" s="2" t="s">
        <v>7</v>
      </c>
      <c r="G13" s="191">
        <v>2.9600000000000001E-2</v>
      </c>
      <c r="H13" s="191">
        <v>0.1744</v>
      </c>
      <c r="I13" s="192">
        <v>44440</v>
      </c>
      <c r="J13" s="192">
        <v>44440</v>
      </c>
      <c r="K13" s="192">
        <v>44201</v>
      </c>
      <c r="L13" s="193" t="s">
        <v>330</v>
      </c>
      <c r="M13" s="81">
        <v>284063.58</v>
      </c>
      <c r="N13" s="69"/>
      <c r="O13" s="69">
        <f t="shared" si="2"/>
        <v>284063.58</v>
      </c>
      <c r="P13" s="68"/>
      <c r="Q13" s="69"/>
      <c r="R13" s="69"/>
      <c r="S13" s="70">
        <f t="shared" si="3"/>
        <v>0</v>
      </c>
    </row>
    <row r="14" spans="1:20" ht="17.25" customHeight="1" x14ac:dyDescent="0.25">
      <c r="C14" s="113"/>
      <c r="D14" s="94"/>
      <c r="G14" s="191"/>
      <c r="H14" s="191"/>
      <c r="I14" s="192"/>
      <c r="J14" s="192"/>
      <c r="K14" s="192"/>
      <c r="L14" s="193"/>
      <c r="M14" s="25"/>
      <c r="N14" s="25"/>
      <c r="O14" s="25"/>
      <c r="P14" s="29"/>
      <c r="Q14" s="25"/>
      <c r="R14" s="25"/>
      <c r="S14" s="26"/>
    </row>
    <row r="15" spans="1:20" ht="24.75" customHeight="1" x14ac:dyDescent="0.25">
      <c r="C15" s="94"/>
      <c r="D15" s="94"/>
      <c r="I15" s="119"/>
      <c r="J15" s="119"/>
      <c r="K15" s="119"/>
      <c r="L15" s="5" t="s">
        <v>38</v>
      </c>
      <c r="M15" s="68">
        <f>SUM(M7:M14)</f>
        <v>479523.11</v>
      </c>
      <c r="N15" s="68">
        <f>SUM(N7:N14)</f>
        <v>0</v>
      </c>
      <c r="O15" s="68">
        <f>SUM(O7:O14)</f>
        <v>479523.11</v>
      </c>
      <c r="Q15" s="68">
        <f>SUM(Q7:Q14)</f>
        <v>184130.05</v>
      </c>
      <c r="R15" s="68">
        <f>SUM(R7:R14)</f>
        <v>0</v>
      </c>
      <c r="S15" s="23">
        <f>SUM(S7:S14)</f>
        <v>184130.05</v>
      </c>
    </row>
    <row r="16" spans="1:20" ht="18.75" customHeight="1" x14ac:dyDescent="0.25">
      <c r="C16" s="94"/>
      <c r="D16" s="94"/>
      <c r="I16" s="119"/>
      <c r="J16" s="119"/>
      <c r="K16" s="119"/>
      <c r="L16" s="5"/>
      <c r="M16" s="68"/>
      <c r="N16" s="68"/>
      <c r="O16" s="68"/>
      <c r="Q16" s="74"/>
      <c r="R16" s="74"/>
      <c r="S16" s="79"/>
    </row>
    <row r="17" spans="2:19" x14ac:dyDescent="0.25">
      <c r="C17" s="94"/>
      <c r="D17" s="94"/>
      <c r="L17" s="5"/>
      <c r="M17" s="68"/>
      <c r="N17" s="68"/>
      <c r="O17" s="68"/>
      <c r="Q17" s="74"/>
      <c r="R17" s="74"/>
      <c r="S17" s="79"/>
    </row>
    <row r="18" spans="2:19" x14ac:dyDescent="0.25">
      <c r="B18" s="8" t="s">
        <v>125</v>
      </c>
      <c r="C18" s="94"/>
      <c r="D18" s="94"/>
      <c r="L18" s="5"/>
      <c r="M18" s="68"/>
      <c r="N18" s="68"/>
      <c r="O18" s="68"/>
      <c r="Q18" s="68"/>
      <c r="R18" s="68"/>
      <c r="S18" s="70"/>
    </row>
    <row r="19" spans="2:19" ht="35.25" customHeight="1" x14ac:dyDescent="0.25">
      <c r="B19" s="338" t="s">
        <v>126</v>
      </c>
      <c r="C19" s="338"/>
      <c r="D19" s="338"/>
      <c r="E19" s="338"/>
      <c r="F19" s="338"/>
      <c r="L19" s="5"/>
      <c r="M19" s="68"/>
      <c r="N19" s="68"/>
      <c r="O19" s="68"/>
      <c r="Q19" s="68"/>
      <c r="R19" s="68"/>
      <c r="S19" s="70"/>
    </row>
    <row r="20" spans="2:19" x14ac:dyDescent="0.25">
      <c r="C20" s="94"/>
      <c r="D20" s="94"/>
      <c r="L20" s="5"/>
      <c r="M20" s="68"/>
      <c r="N20" s="68"/>
      <c r="O20" s="68"/>
      <c r="Q20" s="68"/>
      <c r="R20" s="68"/>
      <c r="S20" s="70"/>
    </row>
    <row r="21" spans="2:19" ht="49.5" customHeight="1" x14ac:dyDescent="0.25">
      <c r="B21" s="338" t="s">
        <v>129</v>
      </c>
      <c r="C21" s="338"/>
      <c r="D21" s="338"/>
      <c r="E21" s="338"/>
      <c r="F21" s="338"/>
      <c r="L21" s="5"/>
      <c r="M21" s="68"/>
      <c r="N21" s="68"/>
      <c r="O21" s="68"/>
      <c r="Q21" s="68"/>
      <c r="R21" s="68"/>
      <c r="S21" s="70"/>
    </row>
    <row r="22" spans="2:19" x14ac:dyDescent="0.25">
      <c r="B22" s="111"/>
      <c r="C22" s="111"/>
      <c r="D22" s="111"/>
      <c r="E22" s="111"/>
      <c r="L22" s="5"/>
      <c r="M22" s="68"/>
      <c r="N22" s="68"/>
      <c r="O22" s="68"/>
      <c r="Q22" s="68"/>
      <c r="R22" s="68"/>
      <c r="S22" s="70"/>
    </row>
    <row r="23" spans="2:19" ht="30.75" customHeight="1" x14ac:dyDescent="0.25">
      <c r="B23" s="338" t="s">
        <v>160</v>
      </c>
      <c r="C23" s="338"/>
      <c r="D23" s="338"/>
      <c r="E23" s="338"/>
      <c r="F23" s="338"/>
      <c r="L23" s="5"/>
      <c r="M23" s="68"/>
      <c r="N23" s="68"/>
      <c r="O23" s="68"/>
      <c r="Q23" s="68"/>
      <c r="R23" s="68"/>
      <c r="S23" s="70"/>
    </row>
    <row r="24" spans="2:19" ht="15" customHeight="1" x14ac:dyDescent="0.25">
      <c r="B24" s="346" t="s">
        <v>159</v>
      </c>
      <c r="C24" s="338"/>
      <c r="D24" s="338"/>
      <c r="E24" s="338"/>
      <c r="F24" s="338"/>
      <c r="L24" s="5"/>
      <c r="M24" s="68"/>
      <c r="N24" s="68"/>
      <c r="O24" s="68"/>
      <c r="Q24" s="68"/>
      <c r="R24" s="68"/>
      <c r="S24" s="70"/>
    </row>
    <row r="25" spans="2:19" ht="15" customHeight="1" x14ac:dyDescent="0.25">
      <c r="B25" s="200"/>
      <c r="C25" s="200"/>
      <c r="D25" s="200"/>
      <c r="E25" s="200"/>
      <c r="L25" s="5"/>
      <c r="M25" s="68"/>
      <c r="N25" s="68"/>
      <c r="O25" s="68"/>
      <c r="Q25" s="68"/>
      <c r="R25" s="68"/>
      <c r="S25" s="70"/>
    </row>
    <row r="26" spans="2:19" x14ac:dyDescent="0.25">
      <c r="B26" s="7" t="s">
        <v>109</v>
      </c>
      <c r="C26" s="104" t="s">
        <v>112</v>
      </c>
      <c r="D26" s="104" t="s">
        <v>113</v>
      </c>
      <c r="E26" s="111"/>
      <c r="L26" s="5"/>
      <c r="M26" s="68"/>
      <c r="N26" s="68"/>
      <c r="O26" s="68"/>
      <c r="Q26" s="68"/>
      <c r="R26" s="68"/>
      <c r="S26" s="70"/>
    </row>
    <row r="27" spans="2:19" x14ac:dyDescent="0.25">
      <c r="B27" s="268" t="s">
        <v>111</v>
      </c>
      <c r="C27" s="94" t="s">
        <v>114</v>
      </c>
      <c r="D27" s="94" t="s">
        <v>119</v>
      </c>
      <c r="E27" s="267"/>
      <c r="L27" s="5"/>
      <c r="M27" s="68"/>
      <c r="N27" s="68"/>
      <c r="O27" s="68"/>
      <c r="Q27" s="68"/>
      <c r="R27" s="68"/>
      <c r="S27" s="70"/>
    </row>
    <row r="28" spans="2:19" x14ac:dyDescent="0.25">
      <c r="B28" s="2" t="s">
        <v>252</v>
      </c>
      <c r="C28" s="94" t="s">
        <v>135</v>
      </c>
      <c r="D28" s="94" t="s">
        <v>147</v>
      </c>
      <c r="L28" s="5"/>
      <c r="M28" s="68"/>
      <c r="N28" s="68"/>
      <c r="O28" s="68"/>
      <c r="Q28" s="68"/>
      <c r="R28" s="68"/>
      <c r="S28" s="70"/>
    </row>
    <row r="29" spans="2:19" x14ac:dyDescent="0.25">
      <c r="B29" s="2" t="s">
        <v>260</v>
      </c>
      <c r="C29" s="94" t="s">
        <v>135</v>
      </c>
      <c r="D29" s="94" t="s">
        <v>147</v>
      </c>
      <c r="L29" s="5"/>
      <c r="M29" s="68"/>
      <c r="N29" s="68"/>
      <c r="O29" s="68"/>
      <c r="Q29" s="68"/>
      <c r="R29" s="68"/>
      <c r="S29" s="70"/>
    </row>
    <row r="30" spans="2:19" x14ac:dyDescent="0.25">
      <c r="B30" s="2" t="s">
        <v>318</v>
      </c>
      <c r="C30" s="94" t="s">
        <v>135</v>
      </c>
      <c r="D30" s="94" t="s">
        <v>147</v>
      </c>
      <c r="L30" s="5"/>
      <c r="M30" s="68"/>
      <c r="N30" s="68"/>
      <c r="O30" s="68"/>
      <c r="Q30" s="68"/>
      <c r="R30" s="68"/>
      <c r="S30" s="70"/>
    </row>
    <row r="31" spans="2:19" x14ac:dyDescent="0.25">
      <c r="B31" s="2" t="s">
        <v>321</v>
      </c>
      <c r="C31" s="94" t="s">
        <v>135</v>
      </c>
      <c r="D31" s="94" t="s">
        <v>147</v>
      </c>
      <c r="L31" s="5"/>
      <c r="M31" s="68"/>
      <c r="N31" s="68"/>
      <c r="O31" s="68"/>
      <c r="Q31" s="68"/>
      <c r="R31" s="68"/>
      <c r="S31" s="70"/>
    </row>
    <row r="32" spans="2:19" x14ac:dyDescent="0.25">
      <c r="B32" s="2" t="s">
        <v>326</v>
      </c>
      <c r="C32" s="94" t="s">
        <v>135</v>
      </c>
      <c r="D32" s="94" t="s">
        <v>147</v>
      </c>
      <c r="L32" s="5"/>
      <c r="M32" s="68"/>
      <c r="N32" s="68"/>
      <c r="O32" s="68"/>
      <c r="Q32" s="68"/>
      <c r="R32" s="68"/>
      <c r="S32" s="70"/>
    </row>
    <row r="33" spans="2:20" x14ac:dyDescent="0.25">
      <c r="C33" s="94"/>
      <c r="D33" s="94"/>
      <c r="L33" s="5"/>
      <c r="M33" s="68"/>
      <c r="N33" s="68"/>
      <c r="O33" s="68"/>
      <c r="Q33" s="68"/>
      <c r="R33" s="68"/>
      <c r="S33" s="70"/>
    </row>
    <row r="34" spans="2:20" x14ac:dyDescent="0.25">
      <c r="B34" s="271" t="s">
        <v>235</v>
      </c>
      <c r="C34" s="96"/>
      <c r="D34" s="96"/>
      <c r="E34" s="10"/>
      <c r="F34" s="10"/>
      <c r="G34" s="10"/>
      <c r="H34" s="29"/>
      <c r="I34" s="29"/>
      <c r="J34" s="29"/>
      <c r="K34" s="29"/>
      <c r="L34" s="29"/>
      <c r="M34" s="29"/>
      <c r="N34" s="29"/>
      <c r="O34" s="29"/>
      <c r="P34" s="29"/>
      <c r="Q34" s="29"/>
      <c r="R34" s="29"/>
      <c r="S34" s="27"/>
    </row>
    <row r="35" spans="2:20" x14ac:dyDescent="0.25">
      <c r="B35" s="266" t="s">
        <v>236</v>
      </c>
      <c r="C35" s="42"/>
      <c r="D35" s="42"/>
      <c r="E35" s="29"/>
      <c r="F35" s="29"/>
      <c r="G35" s="29"/>
      <c r="H35" s="29"/>
      <c r="I35" s="29"/>
      <c r="J35" s="29"/>
      <c r="K35" s="29"/>
      <c r="L35" s="29"/>
      <c r="M35" s="29"/>
      <c r="N35" s="29"/>
      <c r="O35" s="29"/>
      <c r="P35" s="29"/>
      <c r="Q35" s="29"/>
      <c r="R35" s="29"/>
      <c r="S35" s="27"/>
    </row>
    <row r="36" spans="2:20" x14ac:dyDescent="0.25">
      <c r="B36" s="274"/>
      <c r="C36" s="42"/>
      <c r="D36" s="42"/>
      <c r="E36" s="29"/>
      <c r="F36" s="29"/>
      <c r="G36" s="29"/>
      <c r="H36" s="29"/>
      <c r="I36" s="29"/>
      <c r="J36" s="29"/>
      <c r="K36" s="29"/>
      <c r="L36" s="29"/>
      <c r="M36" s="29"/>
      <c r="N36" s="29"/>
      <c r="O36" s="29"/>
      <c r="P36" s="29"/>
      <c r="Q36" s="29"/>
      <c r="R36" s="29"/>
      <c r="S36" s="27"/>
    </row>
    <row r="37" spans="2:20" ht="16.5" customHeight="1" x14ac:dyDescent="0.25">
      <c r="B37" s="112"/>
      <c r="C37" s="112"/>
      <c r="D37" s="112"/>
      <c r="E37" s="112"/>
      <c r="F37" s="112"/>
      <c r="G37" s="112"/>
      <c r="H37" s="112"/>
      <c r="I37" s="112"/>
      <c r="J37" s="112"/>
      <c r="K37" s="112"/>
      <c r="L37" s="112"/>
      <c r="M37" s="112"/>
      <c r="N37" s="112"/>
      <c r="O37" s="112"/>
      <c r="P37" s="112"/>
      <c r="Q37" s="171" t="s">
        <v>90</v>
      </c>
      <c r="R37" s="168"/>
      <c r="S37" s="169"/>
    </row>
    <row r="38" spans="2:20" ht="18" customHeight="1" x14ac:dyDescent="0.25">
      <c r="B38" s="17" t="s">
        <v>39</v>
      </c>
      <c r="C38" s="98" t="s">
        <v>2</v>
      </c>
      <c r="D38" s="98" t="s">
        <v>34</v>
      </c>
      <c r="E38" s="145" t="s">
        <v>35</v>
      </c>
      <c r="F38" s="145" t="s">
        <v>36</v>
      </c>
      <c r="G38" s="145" t="s">
        <v>37</v>
      </c>
      <c r="H38" s="123"/>
      <c r="I38" s="117"/>
      <c r="J38" s="98"/>
      <c r="K38" s="98"/>
      <c r="L38" s="10"/>
      <c r="M38" s="10"/>
      <c r="N38" s="47"/>
      <c r="O38" s="47"/>
      <c r="P38" s="47"/>
      <c r="Q38" s="54" t="s">
        <v>88</v>
      </c>
      <c r="R38" s="52"/>
      <c r="S38" s="53"/>
      <c r="T38" s="51"/>
    </row>
    <row r="39" spans="2:20" ht="15" customHeight="1" x14ac:dyDescent="0.25">
      <c r="B39" s="65"/>
      <c r="C39" s="9"/>
      <c r="D39" s="9"/>
      <c r="E39" s="9"/>
      <c r="F39" s="9"/>
      <c r="G39" s="9"/>
      <c r="H39" s="9"/>
      <c r="I39" s="9"/>
      <c r="J39" s="9"/>
      <c r="K39" s="9"/>
      <c r="L39" s="9"/>
      <c r="M39" s="9"/>
      <c r="N39" s="45"/>
      <c r="O39" s="45"/>
      <c r="P39" s="45"/>
      <c r="Q39" s="59"/>
      <c r="R39" s="50"/>
      <c r="S39" s="50"/>
      <c r="T39" s="51"/>
    </row>
    <row r="40" spans="2:20" ht="15" customHeight="1" x14ac:dyDescent="0.25">
      <c r="C40" s="95"/>
      <c r="D40" s="95"/>
      <c r="E40" s="132"/>
      <c r="F40" s="190"/>
      <c r="G40" s="48"/>
      <c r="I40" s="9"/>
      <c r="J40" s="9"/>
      <c r="K40" s="9"/>
      <c r="L40" s="9"/>
      <c r="N40" s="45"/>
      <c r="O40" s="45"/>
      <c r="P40" s="45"/>
      <c r="R40" s="51"/>
      <c r="S40" s="51"/>
      <c r="T40" s="51"/>
    </row>
    <row r="41" spans="2:20" ht="15" customHeight="1" x14ac:dyDescent="0.25">
      <c r="B41" s="12"/>
      <c r="C41" s="13"/>
      <c r="D41" s="13"/>
      <c r="E41" s="41"/>
      <c r="F41" s="189"/>
      <c r="G41" s="15"/>
      <c r="H41" s="15"/>
      <c r="I41" s="15"/>
      <c r="J41" s="15"/>
      <c r="K41" s="15"/>
      <c r="L41" s="16"/>
      <c r="M41" s="20"/>
      <c r="N41" s="18"/>
      <c r="O41" s="18"/>
      <c r="P41" s="18"/>
      <c r="Q41" s="51"/>
      <c r="R41" s="51"/>
      <c r="S41" s="51"/>
      <c r="T41" s="51"/>
    </row>
    <row r="42" spans="2:20" x14ac:dyDescent="0.25">
      <c r="B42" s="12"/>
      <c r="C42" s="13"/>
      <c r="D42" s="13"/>
      <c r="E42" s="41"/>
      <c r="F42" s="189"/>
      <c r="G42" s="15"/>
      <c r="H42" s="15"/>
      <c r="I42" s="15"/>
      <c r="J42" s="15"/>
      <c r="K42" s="15"/>
      <c r="L42" s="16"/>
      <c r="M42" s="20"/>
      <c r="N42" s="18"/>
      <c r="O42" s="18"/>
      <c r="P42" s="18"/>
      <c r="Q42" s="51"/>
      <c r="R42" s="51"/>
      <c r="S42" s="51"/>
      <c r="T42" s="51"/>
    </row>
    <row r="43" spans="2:20" x14ac:dyDescent="0.25">
      <c r="B43" s="12"/>
      <c r="C43" s="13"/>
      <c r="D43" s="13"/>
      <c r="E43" s="41"/>
      <c r="F43" s="189"/>
      <c r="G43" s="15"/>
      <c r="H43" s="15"/>
      <c r="I43" s="15"/>
      <c r="J43" s="15"/>
      <c r="K43" s="15"/>
      <c r="L43" s="16"/>
      <c r="M43" s="20"/>
      <c r="N43" s="18"/>
      <c r="O43" s="18"/>
      <c r="P43" s="18"/>
      <c r="Q43" s="51"/>
      <c r="R43" s="51"/>
      <c r="S43" s="51"/>
      <c r="T43" s="51"/>
    </row>
    <row r="44" spans="2:20" x14ac:dyDescent="0.25">
      <c r="B44" s="12"/>
      <c r="C44" s="13"/>
      <c r="D44" s="13"/>
      <c r="E44" s="41"/>
      <c r="F44" s="189"/>
      <c r="G44" s="15"/>
      <c r="H44" s="15"/>
      <c r="I44" s="15"/>
      <c r="J44" s="15"/>
      <c r="K44" s="15"/>
      <c r="L44" s="16"/>
      <c r="M44" s="20"/>
      <c r="N44" s="18"/>
      <c r="O44" s="18"/>
      <c r="P44" s="18"/>
      <c r="T44" s="51"/>
    </row>
    <row r="45" spans="2:20" ht="15" customHeight="1" x14ac:dyDescent="0.25">
      <c r="B45" s="12"/>
      <c r="C45" s="13"/>
      <c r="D45" s="13"/>
      <c r="E45" s="41"/>
      <c r="F45" s="15"/>
      <c r="G45" s="15"/>
      <c r="H45" s="15"/>
      <c r="I45" s="15"/>
      <c r="J45" s="15"/>
      <c r="K45" s="15"/>
      <c r="L45" s="16"/>
      <c r="M45" s="20"/>
      <c r="N45" s="18"/>
      <c r="O45" s="18"/>
      <c r="P45" s="18"/>
    </row>
    <row r="46" spans="2:20" x14ac:dyDescent="0.25">
      <c r="B46" s="36"/>
      <c r="C46" s="40"/>
      <c r="D46" s="40"/>
      <c r="E46" s="41"/>
      <c r="F46" s="38"/>
      <c r="G46" s="38"/>
      <c r="H46" s="38"/>
      <c r="I46" s="38"/>
      <c r="J46" s="38"/>
      <c r="K46" s="38"/>
      <c r="L46" s="39"/>
      <c r="M46" s="34"/>
      <c r="N46" s="107"/>
      <c r="O46" s="29"/>
      <c r="P46" s="29"/>
    </row>
    <row r="47" spans="2:20" x14ac:dyDescent="0.25">
      <c r="C47" s="40"/>
      <c r="D47" s="40"/>
      <c r="E47" s="41"/>
      <c r="F47" s="71"/>
      <c r="G47" s="71"/>
      <c r="H47" s="71"/>
      <c r="I47" s="71"/>
      <c r="J47" s="71"/>
      <c r="K47" s="71"/>
      <c r="L47" s="33"/>
      <c r="M47" s="31"/>
      <c r="N47" s="107"/>
    </row>
    <row r="48" spans="2:20" x14ac:dyDescent="0.25">
      <c r="C48" s="40"/>
      <c r="D48" s="40"/>
      <c r="E48" s="41"/>
      <c r="F48" s="71"/>
      <c r="G48" s="71"/>
      <c r="H48" s="71"/>
      <c r="I48" s="71"/>
      <c r="J48" s="71"/>
      <c r="K48" s="71"/>
      <c r="L48" s="33"/>
      <c r="M48" s="31"/>
      <c r="N48" s="108"/>
    </row>
    <row r="49" spans="2:19" x14ac:dyDescent="0.25">
      <c r="C49" s="40"/>
      <c r="D49" s="40"/>
      <c r="E49" s="41"/>
      <c r="F49" s="71"/>
      <c r="G49" s="71"/>
      <c r="H49" s="71"/>
      <c r="I49" s="71"/>
      <c r="J49" s="71"/>
      <c r="K49" s="71"/>
      <c r="L49" s="33"/>
      <c r="M49" s="35"/>
      <c r="N49" s="37"/>
      <c r="O49" s="37"/>
      <c r="P49" s="29"/>
    </row>
    <row r="50" spans="2:19" ht="15" customHeight="1" x14ac:dyDescent="0.25">
      <c r="B50" s="36"/>
      <c r="C50" s="40"/>
      <c r="D50" s="40"/>
      <c r="E50" s="41"/>
      <c r="F50" s="38"/>
      <c r="G50" s="38"/>
      <c r="H50" s="38"/>
      <c r="I50" s="38"/>
      <c r="J50" s="38"/>
      <c r="K50" s="38"/>
      <c r="L50" s="33"/>
      <c r="M50" s="31"/>
      <c r="N50" s="101"/>
      <c r="O50" s="101"/>
      <c r="P50" s="29"/>
      <c r="Q50" s="325" t="s">
        <v>343</v>
      </c>
      <c r="R50" s="325"/>
      <c r="S50" s="327">
        <f>S15</f>
        <v>184130.05</v>
      </c>
    </row>
    <row r="51" spans="2:19" x14ac:dyDescent="0.25">
      <c r="B51" s="36"/>
      <c r="C51" s="40"/>
      <c r="D51" s="40"/>
      <c r="E51" s="41"/>
      <c r="F51" s="38"/>
      <c r="G51" s="38"/>
      <c r="H51" s="38"/>
      <c r="I51" s="38"/>
      <c r="J51" s="38"/>
      <c r="K51" s="38"/>
      <c r="L51" s="33"/>
      <c r="M51" s="31"/>
      <c r="N51" s="101"/>
      <c r="O51" s="101"/>
      <c r="P51" s="29"/>
    </row>
    <row r="52" spans="2:19" x14ac:dyDescent="0.25">
      <c r="B52" s="36"/>
      <c r="C52" s="40"/>
      <c r="D52" s="40"/>
      <c r="E52" s="41"/>
      <c r="F52" s="38"/>
      <c r="G52" s="38"/>
      <c r="H52" s="38"/>
      <c r="I52" s="38"/>
      <c r="J52" s="38"/>
      <c r="K52" s="38"/>
      <c r="L52" s="33"/>
      <c r="M52" s="31"/>
      <c r="N52" s="101"/>
      <c r="O52" s="101"/>
      <c r="P52" s="29"/>
    </row>
    <row r="53" spans="2:19" ht="16.5" customHeight="1" x14ac:dyDescent="0.25">
      <c r="B53" s="36"/>
      <c r="C53" s="40"/>
      <c r="D53" s="40"/>
      <c r="E53" s="41"/>
      <c r="F53" s="38"/>
      <c r="G53" s="38"/>
      <c r="H53" s="38"/>
      <c r="I53" s="38"/>
      <c r="J53" s="38"/>
      <c r="K53" s="38"/>
      <c r="L53" s="39"/>
      <c r="M53" s="20"/>
      <c r="N53" s="101"/>
      <c r="O53" s="101"/>
      <c r="P53" s="29"/>
    </row>
    <row r="54" spans="2:19" ht="15" hidden="1" customHeight="1" x14ac:dyDescent="0.25"/>
    <row r="55" spans="2:19" ht="15" customHeight="1" x14ac:dyDescent="0.25">
      <c r="E55" s="21"/>
      <c r="F55" s="105"/>
      <c r="G55" s="105"/>
      <c r="H55" s="105"/>
      <c r="I55" s="105"/>
      <c r="J55" s="105"/>
      <c r="K55" s="105"/>
    </row>
    <row r="58" spans="2:19" ht="15" customHeight="1" x14ac:dyDescent="0.25"/>
  </sheetData>
  <mergeCells count="6">
    <mergeCell ref="B24:F24"/>
    <mergeCell ref="Q1:S1"/>
    <mergeCell ref="Q2:S2"/>
    <mergeCell ref="B23:F23"/>
    <mergeCell ref="B21:F21"/>
    <mergeCell ref="B19:F19"/>
  </mergeCells>
  <hyperlinks>
    <hyperlink ref="B24" r:id="rId1"/>
  </hyperlinks>
  <printOptions horizontalCentered="1" gridLines="1"/>
  <pageMargins left="0" right="0" top="0.75" bottom="0.75" header="0.3" footer="0.3"/>
  <pageSetup scale="54" orientation="landscape" horizontalDpi="1200" verticalDpi="1200"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2"/>
  <sheetViews>
    <sheetView topLeftCell="C16" zoomScale="90" zoomScaleNormal="90" workbookViewId="0">
      <selection activeCell="Q50" sqref="Q50"/>
    </sheetView>
  </sheetViews>
  <sheetFormatPr defaultColWidth="9.140625" defaultRowHeight="15" x14ac:dyDescent="0.25"/>
  <cols>
    <col min="1" max="1" width="9.140625" style="2" hidden="1" customWidth="1"/>
    <col min="2" max="2" width="58.42578125" style="2" customWidth="1"/>
    <col min="3" max="3" width="27.85546875" style="2" customWidth="1"/>
    <col min="4" max="4" width="13.7109375" style="2" customWidth="1"/>
    <col min="5" max="5" width="17" style="2" customWidth="1"/>
    <col min="6" max="6" width="22.5703125" style="2" customWidth="1"/>
    <col min="7" max="7" width="10.28515625" style="2" customWidth="1"/>
    <col min="8" max="8" width="12.85546875" style="2" customWidth="1"/>
    <col min="9" max="9" width="13.42578125" style="2" customWidth="1"/>
    <col min="10" max="10" width="15.7109375" style="2" customWidth="1"/>
    <col min="11" max="11" width="8.85546875" style="2" customWidth="1"/>
    <col min="12" max="12" width="18.1406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7.5703125" style="2" customWidth="1"/>
    <col min="20" max="16384" width="9.140625" style="2"/>
  </cols>
  <sheetData>
    <row r="1" spans="1:20" ht="15.6" customHeight="1" x14ac:dyDescent="0.25">
      <c r="A1" s="2" t="s">
        <v>342</v>
      </c>
      <c r="B1" s="1" t="s">
        <v>79</v>
      </c>
      <c r="Q1" s="335" t="s">
        <v>230</v>
      </c>
      <c r="R1" s="335"/>
      <c r="S1" s="335"/>
    </row>
    <row r="2" spans="1:20" x14ac:dyDescent="0.25">
      <c r="B2" s="90" t="s">
        <v>148</v>
      </c>
      <c r="C2" s="187">
        <v>44377</v>
      </c>
      <c r="M2" s="73"/>
      <c r="N2" s="73"/>
      <c r="P2" s="29"/>
      <c r="Q2" s="334" t="s">
        <v>338</v>
      </c>
      <c r="R2" s="334"/>
      <c r="S2" s="334"/>
    </row>
    <row r="3" spans="1:20" ht="15.75" thickBot="1" x14ac:dyDescent="0.3">
      <c r="A3" s="2" t="s">
        <v>16</v>
      </c>
      <c r="B3" s="44" t="s">
        <v>80</v>
      </c>
      <c r="C3" s="8"/>
      <c r="D3" s="8"/>
      <c r="E3" s="8"/>
      <c r="P3" s="29"/>
      <c r="Q3" s="45"/>
      <c r="R3" s="30"/>
    </row>
    <row r="4" spans="1:20" x14ac:dyDescent="0.25">
      <c r="B4" s="8" t="s">
        <v>174</v>
      </c>
      <c r="M4" s="87" t="s">
        <v>28</v>
      </c>
      <c r="N4" s="87" t="s">
        <v>28</v>
      </c>
      <c r="O4" s="87" t="s">
        <v>28</v>
      </c>
      <c r="P4" s="9"/>
      <c r="Q4" s="91" t="s">
        <v>29</v>
      </c>
      <c r="R4" s="91" t="s">
        <v>31</v>
      </c>
      <c r="S4" s="91" t="s">
        <v>23</v>
      </c>
      <c r="T4" s="7"/>
    </row>
    <row r="5" spans="1:20" ht="15.75" thickBot="1" x14ac:dyDescent="0.3">
      <c r="G5" s="188" t="s">
        <v>231</v>
      </c>
      <c r="H5" s="188" t="s">
        <v>231</v>
      </c>
      <c r="M5" s="88" t="s">
        <v>27</v>
      </c>
      <c r="N5" s="88" t="s">
        <v>26</v>
      </c>
      <c r="O5" s="88" t="s">
        <v>25</v>
      </c>
      <c r="P5" s="9"/>
      <c r="Q5" s="92" t="s">
        <v>30</v>
      </c>
      <c r="R5" s="92" t="s">
        <v>30</v>
      </c>
      <c r="S5" s="92" t="s">
        <v>30</v>
      </c>
      <c r="T5" s="7"/>
    </row>
    <row r="6" spans="1:20" ht="85.5" customHeight="1" thickBot="1" x14ac:dyDescent="0.3">
      <c r="B6" s="86" t="s">
        <v>1</v>
      </c>
      <c r="C6" s="86" t="s">
        <v>127</v>
      </c>
      <c r="D6" s="86" t="s">
        <v>107</v>
      </c>
      <c r="E6" s="86" t="s">
        <v>3</v>
      </c>
      <c r="F6" s="86" t="s">
        <v>4</v>
      </c>
      <c r="G6" s="110" t="s">
        <v>136</v>
      </c>
      <c r="H6" s="110" t="s">
        <v>137</v>
      </c>
      <c r="I6" s="110" t="s">
        <v>133</v>
      </c>
      <c r="J6" s="110" t="s">
        <v>134</v>
      </c>
      <c r="K6" s="110" t="s">
        <v>121</v>
      </c>
      <c r="L6" s="85" t="s">
        <v>5</v>
      </c>
      <c r="M6" s="89" t="s">
        <v>6</v>
      </c>
      <c r="N6" s="89" t="s">
        <v>6</v>
      </c>
      <c r="O6" s="89" t="s">
        <v>6</v>
      </c>
      <c r="P6" s="9"/>
      <c r="Q6" s="93"/>
      <c r="R6" s="99" t="s">
        <v>32</v>
      </c>
      <c r="S6" s="100" t="s">
        <v>33</v>
      </c>
    </row>
    <row r="7" spans="1:20" ht="32.25" customHeight="1" x14ac:dyDescent="0.25">
      <c r="B7" s="2" t="s">
        <v>128</v>
      </c>
      <c r="C7" s="231" t="s">
        <v>122</v>
      </c>
      <c r="D7" s="95" t="s">
        <v>248</v>
      </c>
      <c r="E7" s="2" t="s">
        <v>233</v>
      </c>
      <c r="F7" s="2" t="s">
        <v>7</v>
      </c>
      <c r="G7" s="191">
        <v>2.9600000000000001E-2</v>
      </c>
      <c r="H7" s="191">
        <v>0.1744</v>
      </c>
      <c r="I7" s="192">
        <v>44377</v>
      </c>
      <c r="J7" s="192">
        <v>44378</v>
      </c>
      <c r="K7" s="192">
        <v>44013</v>
      </c>
      <c r="L7" s="193" t="s">
        <v>234</v>
      </c>
      <c r="M7" s="69">
        <v>24415.51</v>
      </c>
      <c r="N7" s="69"/>
      <c r="O7" s="69">
        <f>M7+N7</f>
        <v>24415.51</v>
      </c>
      <c r="P7" s="29"/>
      <c r="Q7" s="69">
        <v>24415.51</v>
      </c>
      <c r="R7" s="69"/>
      <c r="S7" s="70">
        <f>Q7+R7</f>
        <v>24415.51</v>
      </c>
    </row>
    <row r="8" spans="1:20" ht="30" customHeight="1" x14ac:dyDescent="0.25">
      <c r="B8" s="2" t="s">
        <v>22</v>
      </c>
      <c r="C8" s="230" t="s">
        <v>132</v>
      </c>
      <c r="D8" s="94" t="s">
        <v>251</v>
      </c>
      <c r="E8" s="2" t="s">
        <v>238</v>
      </c>
      <c r="F8" s="2" t="s">
        <v>7</v>
      </c>
      <c r="G8" s="191">
        <f>G7</f>
        <v>2.9600000000000001E-2</v>
      </c>
      <c r="H8" s="191">
        <f>H7</f>
        <v>0.1744</v>
      </c>
      <c r="I8" s="192">
        <v>44439</v>
      </c>
      <c r="J8" s="192">
        <v>44438</v>
      </c>
      <c r="K8" s="288">
        <v>44013</v>
      </c>
      <c r="L8" s="194" t="s">
        <v>340</v>
      </c>
      <c r="M8" s="212">
        <v>1118</v>
      </c>
      <c r="N8" s="295">
        <f>-3284</f>
        <v>-3284</v>
      </c>
      <c r="O8" s="322">
        <v>4402</v>
      </c>
      <c r="P8" s="29"/>
      <c r="Q8" s="295">
        <v>-3284</v>
      </c>
      <c r="R8" s="69">
        <v>0</v>
      </c>
      <c r="S8" s="296">
        <f>Q8+R8</f>
        <v>-3284</v>
      </c>
    </row>
    <row r="9" spans="1:20" ht="30" customHeight="1" x14ac:dyDescent="0.25">
      <c r="B9" s="2" t="s">
        <v>241</v>
      </c>
      <c r="C9" s="243" t="s">
        <v>242</v>
      </c>
      <c r="D9" s="95" t="s">
        <v>243</v>
      </c>
      <c r="E9" s="2" t="s">
        <v>244</v>
      </c>
      <c r="F9" s="2" t="s">
        <v>7</v>
      </c>
      <c r="G9" s="191">
        <v>2.9600000000000001E-2</v>
      </c>
      <c r="H9" s="191">
        <v>0.1744</v>
      </c>
      <c r="I9" s="192">
        <v>44834</v>
      </c>
      <c r="J9" s="192">
        <v>44849</v>
      </c>
      <c r="K9" s="192">
        <v>43614</v>
      </c>
      <c r="L9" s="193" t="s">
        <v>311</v>
      </c>
      <c r="M9" s="69">
        <v>163019.57</v>
      </c>
      <c r="N9" s="69"/>
      <c r="O9" s="69">
        <f>M9+N9</f>
        <v>163019.57</v>
      </c>
      <c r="P9" s="29"/>
      <c r="Q9" s="69">
        <v>161049.01</v>
      </c>
      <c r="R9" s="69"/>
      <c r="S9" s="70">
        <f>Q9+R9</f>
        <v>161049.01</v>
      </c>
    </row>
    <row r="10" spans="1:20" ht="30" customHeight="1" x14ac:dyDescent="0.25">
      <c r="B10" s="2" t="s">
        <v>283</v>
      </c>
      <c r="C10" s="243" t="s">
        <v>264</v>
      </c>
      <c r="D10" s="95" t="s">
        <v>254</v>
      </c>
      <c r="E10" s="2" t="s">
        <v>284</v>
      </c>
      <c r="F10" s="2" t="s">
        <v>7</v>
      </c>
      <c r="G10" s="191">
        <f t="shared" ref="G10:H10" si="0">+G9</f>
        <v>2.9600000000000001E-2</v>
      </c>
      <c r="H10" s="191">
        <f t="shared" si="0"/>
        <v>0.1744</v>
      </c>
      <c r="I10" s="192">
        <v>44377</v>
      </c>
      <c r="J10" s="192">
        <v>44392</v>
      </c>
      <c r="K10" s="192">
        <v>43613</v>
      </c>
      <c r="L10" s="193" t="s">
        <v>234</v>
      </c>
      <c r="M10" s="81">
        <v>7302.48</v>
      </c>
      <c r="N10" s="69"/>
      <c r="O10" s="69">
        <f>M10+N10</f>
        <v>7302.48</v>
      </c>
      <c r="P10" s="69"/>
      <c r="Q10" s="69"/>
      <c r="R10" s="69"/>
      <c r="S10" s="70">
        <f>Q10+R10</f>
        <v>0</v>
      </c>
    </row>
    <row r="11" spans="1:20" ht="36.75" customHeight="1" x14ac:dyDescent="0.25">
      <c r="B11" s="343" t="s">
        <v>263</v>
      </c>
      <c r="C11" s="243" t="s">
        <v>264</v>
      </c>
      <c r="D11" s="95" t="s">
        <v>254</v>
      </c>
      <c r="E11" s="2" t="s">
        <v>265</v>
      </c>
      <c r="F11" s="2" t="s">
        <v>7</v>
      </c>
      <c r="G11" s="191">
        <f t="shared" ref="G11:H11" si="1">+G10</f>
        <v>2.9600000000000001E-2</v>
      </c>
      <c r="H11" s="191">
        <f t="shared" si="1"/>
        <v>0.1744</v>
      </c>
      <c r="I11" s="192">
        <v>44834</v>
      </c>
      <c r="J11" s="192">
        <v>44849</v>
      </c>
      <c r="K11" s="192">
        <v>43613</v>
      </c>
      <c r="L11" s="193" t="s">
        <v>335</v>
      </c>
      <c r="M11" s="67">
        <v>10000</v>
      </c>
      <c r="N11" s="69"/>
      <c r="O11" s="69">
        <f>M11+N11</f>
        <v>10000</v>
      </c>
      <c r="P11" s="69"/>
      <c r="Q11" s="69"/>
      <c r="R11" s="69"/>
      <c r="S11" s="70">
        <f>Q11+R11</f>
        <v>0</v>
      </c>
    </row>
    <row r="12" spans="1:20" ht="11.25" customHeight="1" x14ac:dyDescent="0.25">
      <c r="B12" s="343"/>
      <c r="C12" s="95"/>
      <c r="D12" s="95"/>
      <c r="G12" s="207"/>
      <c r="H12" s="191"/>
      <c r="I12" s="192"/>
      <c r="J12" s="192"/>
      <c r="K12" s="192"/>
      <c r="L12" s="193"/>
      <c r="M12" s="69"/>
      <c r="N12" s="69"/>
      <c r="O12" s="69"/>
      <c r="P12" s="29"/>
      <c r="Q12" s="69"/>
      <c r="R12" s="69"/>
      <c r="S12" s="70"/>
    </row>
    <row r="13" spans="1:20" ht="28.5" customHeight="1" x14ac:dyDescent="0.25">
      <c r="B13" s="2" t="s">
        <v>318</v>
      </c>
      <c r="C13" s="243" t="s">
        <v>242</v>
      </c>
      <c r="D13" s="95" t="s">
        <v>243</v>
      </c>
      <c r="E13" s="2" t="s">
        <v>319</v>
      </c>
      <c r="F13" s="2" t="s">
        <v>7</v>
      </c>
      <c r="G13" s="191">
        <v>2.9600000000000001E-2</v>
      </c>
      <c r="H13" s="191">
        <v>0.1744</v>
      </c>
      <c r="I13" s="192">
        <v>44561</v>
      </c>
      <c r="J13" s="192">
        <v>44576</v>
      </c>
      <c r="K13" s="192">
        <v>43980</v>
      </c>
      <c r="L13" s="193" t="s">
        <v>320</v>
      </c>
      <c r="M13" s="81">
        <v>3000</v>
      </c>
      <c r="N13" s="69"/>
      <c r="O13" s="69">
        <f t="shared" ref="O13:O15" si="2">M13+N13</f>
        <v>3000</v>
      </c>
      <c r="P13" s="68"/>
      <c r="Q13" s="69"/>
      <c r="R13" s="69"/>
      <c r="S13" s="70">
        <f t="shared" ref="S13:S15" si="3">Q13+R13</f>
        <v>0</v>
      </c>
    </row>
    <row r="14" spans="1:20" ht="28.5" customHeight="1" x14ac:dyDescent="0.25">
      <c r="B14" s="2" t="s">
        <v>321</v>
      </c>
      <c r="C14" s="243" t="s">
        <v>264</v>
      </c>
      <c r="D14" s="95" t="s">
        <v>254</v>
      </c>
      <c r="E14" s="2" t="s">
        <v>322</v>
      </c>
      <c r="F14" s="2" t="s">
        <v>7</v>
      </c>
      <c r="G14" s="191">
        <v>2.9600000000000001E-2</v>
      </c>
      <c r="H14" s="191">
        <v>0.1744</v>
      </c>
      <c r="I14" s="192">
        <v>44742</v>
      </c>
      <c r="J14" s="192">
        <v>44757</v>
      </c>
      <c r="K14" s="192">
        <v>43979</v>
      </c>
      <c r="L14" s="193" t="s">
        <v>323</v>
      </c>
      <c r="M14" s="81">
        <v>1027</v>
      </c>
      <c r="N14" s="69"/>
      <c r="O14" s="69">
        <f t="shared" si="2"/>
        <v>1027</v>
      </c>
      <c r="P14" s="68"/>
      <c r="Q14" s="69"/>
      <c r="R14" s="69"/>
      <c r="S14" s="70">
        <f t="shared" si="3"/>
        <v>0</v>
      </c>
    </row>
    <row r="15" spans="1:20" ht="28.5" customHeight="1" x14ac:dyDescent="0.25">
      <c r="B15" s="2" t="s">
        <v>327</v>
      </c>
      <c r="C15" s="243" t="s">
        <v>242</v>
      </c>
      <c r="D15" s="95" t="s">
        <v>328</v>
      </c>
      <c r="E15" s="2" t="s">
        <v>329</v>
      </c>
      <c r="F15" s="2" t="s">
        <v>7</v>
      </c>
      <c r="G15" s="191">
        <v>2.9600000000000001E-2</v>
      </c>
      <c r="H15" s="191">
        <v>0.1744</v>
      </c>
      <c r="I15" s="192">
        <v>44440</v>
      </c>
      <c r="J15" s="192">
        <v>44440</v>
      </c>
      <c r="K15" s="192">
        <v>44201</v>
      </c>
      <c r="L15" s="193" t="s">
        <v>330</v>
      </c>
      <c r="M15" s="81">
        <v>391081.78</v>
      </c>
      <c r="N15" s="69"/>
      <c r="O15" s="69">
        <f t="shared" si="2"/>
        <v>391081.78</v>
      </c>
      <c r="P15" s="68"/>
      <c r="Q15" s="69"/>
      <c r="R15" s="69"/>
      <c r="S15" s="70">
        <f t="shared" si="3"/>
        <v>0</v>
      </c>
    </row>
    <row r="16" spans="1:20" ht="16.5" customHeight="1" x14ac:dyDescent="0.25">
      <c r="B16" s="315"/>
      <c r="C16" s="95"/>
      <c r="D16" s="95"/>
      <c r="G16" s="207"/>
      <c r="H16" s="191"/>
      <c r="I16" s="192"/>
      <c r="J16" s="192"/>
      <c r="K16" s="192"/>
      <c r="L16" s="193"/>
      <c r="M16" s="69"/>
      <c r="N16" s="69"/>
      <c r="O16" s="69"/>
      <c r="P16" s="29"/>
      <c r="Q16" s="69"/>
      <c r="R16" s="69"/>
      <c r="S16" s="26"/>
    </row>
    <row r="17" spans="2:19" ht="22.5" customHeight="1" x14ac:dyDescent="0.25">
      <c r="C17" s="94"/>
      <c r="D17" s="94"/>
      <c r="I17" s="119"/>
      <c r="J17" s="119"/>
      <c r="K17" s="119"/>
      <c r="L17" s="5" t="s">
        <v>38</v>
      </c>
      <c r="M17" s="284">
        <f>SUM(M7:M16)</f>
        <v>600964.34000000008</v>
      </c>
      <c r="N17" s="316">
        <f t="shared" ref="N17:O17" si="4">SUM(N7:N16)</f>
        <v>-3284</v>
      </c>
      <c r="O17" s="284">
        <f t="shared" si="4"/>
        <v>604248.34000000008</v>
      </c>
      <c r="Q17" s="316">
        <f t="shared" ref="Q17:S17" si="5">SUM(Q7:Q16)</f>
        <v>182180.52000000002</v>
      </c>
      <c r="R17" s="284">
        <f t="shared" si="5"/>
        <v>0</v>
      </c>
      <c r="S17" s="317">
        <f t="shared" si="5"/>
        <v>182180.52000000002</v>
      </c>
    </row>
    <row r="18" spans="2:19" x14ac:dyDescent="0.25">
      <c r="C18" s="94"/>
      <c r="D18" s="94"/>
      <c r="I18" s="119"/>
      <c r="J18" s="119"/>
      <c r="K18" s="119"/>
      <c r="L18" s="5"/>
      <c r="M18" s="68"/>
      <c r="N18" s="68"/>
      <c r="O18" s="68"/>
      <c r="Q18" s="68"/>
      <c r="R18" s="68"/>
      <c r="S18" s="70"/>
    </row>
    <row r="19" spans="2:19" x14ac:dyDescent="0.25">
      <c r="C19" s="94"/>
      <c r="D19" s="94"/>
      <c r="L19" s="5"/>
      <c r="M19" s="68"/>
      <c r="N19" s="68"/>
      <c r="O19" s="68"/>
      <c r="Q19" s="68"/>
      <c r="R19" s="68"/>
      <c r="S19" s="70"/>
    </row>
    <row r="20" spans="2:19" x14ac:dyDescent="0.25">
      <c r="B20" s="8" t="s">
        <v>125</v>
      </c>
      <c r="C20" s="94"/>
      <c r="D20" s="94"/>
      <c r="L20" s="5"/>
      <c r="M20" s="68"/>
      <c r="N20" s="68"/>
      <c r="O20" s="68"/>
      <c r="Q20" s="68"/>
      <c r="R20" s="68"/>
      <c r="S20" s="70"/>
    </row>
    <row r="21" spans="2:19" ht="30.75" customHeight="1" x14ac:dyDescent="0.25">
      <c r="B21" s="338" t="s">
        <v>126</v>
      </c>
      <c r="C21" s="338"/>
      <c r="D21" s="338"/>
      <c r="E21" s="338"/>
      <c r="F21" s="338"/>
      <c r="L21" s="5"/>
      <c r="M21" s="68"/>
      <c r="N21" s="68"/>
      <c r="O21" s="68"/>
      <c r="Q21" s="68"/>
      <c r="R21" s="68"/>
      <c r="S21" s="70"/>
    </row>
    <row r="22" spans="2:19" x14ac:dyDescent="0.25">
      <c r="C22" s="94"/>
      <c r="D22" s="94"/>
      <c r="L22" s="5"/>
      <c r="M22" s="68"/>
      <c r="N22" s="68"/>
      <c r="O22" s="68"/>
      <c r="Q22" s="68"/>
      <c r="R22" s="68"/>
      <c r="S22" s="70"/>
    </row>
    <row r="23" spans="2:19" ht="46.5" customHeight="1" x14ac:dyDescent="0.25">
      <c r="B23" s="338" t="s">
        <v>129</v>
      </c>
      <c r="C23" s="338"/>
      <c r="D23" s="338"/>
      <c r="E23" s="338"/>
      <c r="F23" s="338"/>
      <c r="L23" s="5"/>
      <c r="M23" s="68"/>
      <c r="N23" s="68"/>
      <c r="O23" s="68"/>
      <c r="Q23" s="68"/>
      <c r="R23" s="68"/>
      <c r="S23" s="70"/>
    </row>
    <row r="24" spans="2:19" x14ac:dyDescent="0.25">
      <c r="B24" s="111"/>
      <c r="C24" s="111"/>
      <c r="D24" s="111"/>
      <c r="E24" s="111"/>
      <c r="L24" s="5"/>
      <c r="M24" s="68"/>
      <c r="N24" s="68"/>
      <c r="O24" s="68"/>
      <c r="Q24" s="68"/>
      <c r="R24" s="68"/>
      <c r="S24" s="70"/>
    </row>
    <row r="25" spans="2:19" ht="30" customHeight="1" x14ac:dyDescent="0.25">
      <c r="B25" s="338" t="s">
        <v>160</v>
      </c>
      <c r="C25" s="338"/>
      <c r="D25" s="338"/>
      <c r="E25" s="338"/>
      <c r="F25" s="338"/>
      <c r="L25" s="5"/>
      <c r="M25" s="68"/>
      <c r="N25" s="68"/>
      <c r="O25" s="68"/>
      <c r="Q25" s="68"/>
      <c r="R25" s="68"/>
      <c r="S25" s="70"/>
    </row>
    <row r="26" spans="2:19" ht="15" customHeight="1" x14ac:dyDescent="0.25">
      <c r="B26" s="346" t="s">
        <v>159</v>
      </c>
      <c r="C26" s="338"/>
      <c r="D26" s="338"/>
      <c r="E26" s="338"/>
      <c r="F26" s="338"/>
      <c r="L26" s="5"/>
      <c r="M26" s="68"/>
      <c r="N26" s="68"/>
      <c r="O26" s="68"/>
      <c r="Q26" s="68"/>
      <c r="R26" s="68"/>
      <c r="S26" s="70"/>
    </row>
    <row r="27" spans="2:19" ht="15" customHeight="1" x14ac:dyDescent="0.25">
      <c r="B27" s="200"/>
      <c r="C27" s="200"/>
      <c r="D27" s="200"/>
      <c r="E27" s="200"/>
      <c r="L27" s="5"/>
      <c r="M27" s="68"/>
      <c r="N27" s="68"/>
      <c r="O27" s="68"/>
      <c r="Q27" s="68"/>
      <c r="R27" s="68"/>
      <c r="S27" s="70"/>
    </row>
    <row r="28" spans="2:19" x14ac:dyDescent="0.25">
      <c r="B28" s="7" t="s">
        <v>109</v>
      </c>
      <c r="C28" s="104" t="s">
        <v>112</v>
      </c>
      <c r="D28" s="104" t="s">
        <v>113</v>
      </c>
      <c r="E28" s="111"/>
      <c r="L28" s="5"/>
      <c r="M28" s="68"/>
      <c r="N28" s="68"/>
      <c r="O28" s="68"/>
      <c r="Q28" s="68"/>
      <c r="R28" s="68"/>
      <c r="S28" s="70"/>
    </row>
    <row r="29" spans="2:19" x14ac:dyDescent="0.25">
      <c r="B29" s="268" t="s">
        <v>111</v>
      </c>
      <c r="C29" s="94" t="s">
        <v>114</v>
      </c>
      <c r="D29" s="94" t="s">
        <v>119</v>
      </c>
      <c r="E29" s="267"/>
      <c r="L29" s="5"/>
      <c r="M29" s="68"/>
      <c r="N29" s="68"/>
      <c r="O29" s="68"/>
      <c r="Q29" s="68"/>
      <c r="R29" s="68"/>
      <c r="S29" s="70"/>
    </row>
    <row r="30" spans="2:19" x14ac:dyDescent="0.25">
      <c r="B30" s="2" t="s">
        <v>115</v>
      </c>
      <c r="C30" s="94" t="s">
        <v>179</v>
      </c>
      <c r="D30" s="94" t="s">
        <v>178</v>
      </c>
      <c r="L30" s="5"/>
      <c r="M30" s="68"/>
      <c r="N30" s="68"/>
      <c r="O30" s="68"/>
      <c r="Q30" s="68"/>
      <c r="R30" s="68"/>
      <c r="S30" s="70"/>
    </row>
    <row r="31" spans="2:19" x14ac:dyDescent="0.25">
      <c r="B31" s="2" t="s">
        <v>252</v>
      </c>
      <c r="C31" s="94" t="s">
        <v>135</v>
      </c>
      <c r="D31" s="94" t="s">
        <v>147</v>
      </c>
      <c r="L31" s="5"/>
      <c r="M31" s="68"/>
      <c r="N31" s="68"/>
      <c r="O31" s="68"/>
      <c r="Q31" s="68"/>
      <c r="R31" s="68"/>
      <c r="S31" s="70"/>
    </row>
    <row r="32" spans="2:19" x14ac:dyDescent="0.25">
      <c r="B32" s="2" t="s">
        <v>260</v>
      </c>
      <c r="C32" s="94" t="s">
        <v>135</v>
      </c>
      <c r="D32" s="94" t="s">
        <v>147</v>
      </c>
      <c r="L32" s="5"/>
      <c r="M32" s="68"/>
      <c r="N32" s="68"/>
      <c r="O32" s="68"/>
      <c r="Q32" s="68"/>
      <c r="R32" s="68"/>
      <c r="S32" s="70"/>
    </row>
    <row r="33" spans="2:20" x14ac:dyDescent="0.25">
      <c r="B33" s="2" t="s">
        <v>261</v>
      </c>
      <c r="C33" s="94" t="s">
        <v>179</v>
      </c>
      <c r="D33" s="94" t="s">
        <v>262</v>
      </c>
      <c r="L33" s="5"/>
      <c r="M33" s="68"/>
      <c r="N33" s="68"/>
      <c r="O33" s="68"/>
      <c r="Q33" s="68"/>
      <c r="R33" s="68"/>
      <c r="S33" s="70"/>
    </row>
    <row r="34" spans="2:20" x14ac:dyDescent="0.25">
      <c r="B34" s="2" t="s">
        <v>318</v>
      </c>
      <c r="C34" s="94" t="s">
        <v>135</v>
      </c>
      <c r="D34" s="94" t="s">
        <v>147</v>
      </c>
      <c r="L34" s="5"/>
      <c r="M34" s="68"/>
      <c r="N34" s="68"/>
      <c r="O34" s="68"/>
      <c r="Q34" s="68"/>
      <c r="R34" s="68"/>
      <c r="S34" s="70"/>
    </row>
    <row r="35" spans="2:20" x14ac:dyDescent="0.25">
      <c r="B35" s="2" t="s">
        <v>321</v>
      </c>
      <c r="C35" s="94" t="s">
        <v>135</v>
      </c>
      <c r="D35" s="94" t="s">
        <v>147</v>
      </c>
      <c r="L35" s="5"/>
      <c r="M35" s="68"/>
      <c r="N35" s="68"/>
      <c r="O35" s="68"/>
      <c r="Q35" s="68"/>
      <c r="R35" s="68"/>
      <c r="S35" s="70"/>
    </row>
    <row r="36" spans="2:20" x14ac:dyDescent="0.25">
      <c r="B36" s="2" t="s">
        <v>326</v>
      </c>
      <c r="C36" s="94" t="s">
        <v>135</v>
      </c>
      <c r="D36" s="94" t="s">
        <v>147</v>
      </c>
      <c r="L36" s="5"/>
      <c r="M36" s="68"/>
      <c r="N36" s="68"/>
      <c r="O36" s="68"/>
      <c r="Q36" s="68"/>
      <c r="R36" s="68"/>
      <c r="S36" s="70"/>
    </row>
    <row r="37" spans="2:20" x14ac:dyDescent="0.25">
      <c r="C37" s="94"/>
      <c r="D37" s="94"/>
      <c r="L37" s="5"/>
      <c r="M37" s="68"/>
      <c r="N37" s="68"/>
      <c r="O37" s="68"/>
      <c r="Q37" s="68"/>
      <c r="R37" s="68"/>
      <c r="S37" s="70"/>
    </row>
    <row r="38" spans="2:20" x14ac:dyDescent="0.25">
      <c r="B38" s="270" t="s">
        <v>235</v>
      </c>
      <c r="C38" s="94"/>
      <c r="D38" s="94"/>
      <c r="L38" s="5"/>
      <c r="M38" s="68"/>
      <c r="N38" s="68"/>
      <c r="O38" s="68"/>
      <c r="Q38" s="68"/>
      <c r="R38" s="68"/>
      <c r="S38" s="70"/>
    </row>
    <row r="39" spans="2:20" x14ac:dyDescent="0.25">
      <c r="B39" s="266" t="s">
        <v>236</v>
      </c>
      <c r="C39" s="94"/>
      <c r="D39" s="94"/>
      <c r="L39" s="5"/>
      <c r="M39" s="68"/>
      <c r="N39" s="68"/>
      <c r="O39" s="68"/>
      <c r="Q39" s="68"/>
      <c r="R39" s="68"/>
      <c r="S39" s="70"/>
    </row>
    <row r="40" spans="2:20" x14ac:dyDescent="0.25">
      <c r="B40" s="10"/>
      <c r="C40" s="96"/>
      <c r="D40" s="96"/>
      <c r="E40" s="10"/>
      <c r="F40" s="10"/>
      <c r="G40" s="10"/>
      <c r="H40" s="10"/>
      <c r="I40" s="10"/>
      <c r="J40" s="10"/>
      <c r="K40" s="10"/>
      <c r="L40" s="10"/>
      <c r="M40" s="10"/>
      <c r="N40" s="10"/>
      <c r="O40" s="10"/>
      <c r="P40" s="10"/>
      <c r="Q40" s="10"/>
      <c r="R40" s="10"/>
      <c r="S40" s="28"/>
    </row>
    <row r="41" spans="2:20" ht="16.5" customHeight="1" x14ac:dyDescent="0.25">
      <c r="C41" s="42"/>
      <c r="D41" s="42"/>
      <c r="E41" s="29"/>
      <c r="F41" s="29"/>
      <c r="G41" s="29"/>
      <c r="H41" s="29"/>
      <c r="I41" s="29"/>
      <c r="J41" s="29"/>
      <c r="K41" s="29"/>
      <c r="L41" s="29"/>
      <c r="M41" s="29"/>
      <c r="N41" s="29"/>
      <c r="O41" s="29"/>
      <c r="P41" s="29"/>
      <c r="Q41" s="59" t="s">
        <v>90</v>
      </c>
      <c r="R41" s="50"/>
      <c r="S41" s="169"/>
    </row>
    <row r="42" spans="2:20" ht="15" customHeight="1" x14ac:dyDescent="0.25">
      <c r="B42" s="17" t="s">
        <v>39</v>
      </c>
      <c r="C42" s="98" t="s">
        <v>2</v>
      </c>
      <c r="D42" s="98" t="s">
        <v>34</v>
      </c>
      <c r="E42" s="145" t="s">
        <v>35</v>
      </c>
      <c r="F42" s="98" t="s">
        <v>36</v>
      </c>
      <c r="G42" s="342" t="s">
        <v>37</v>
      </c>
      <c r="H42" s="342"/>
      <c r="I42" s="117"/>
      <c r="J42" s="98"/>
      <c r="K42" s="98"/>
      <c r="L42" s="10"/>
      <c r="M42" s="10"/>
      <c r="N42" s="10"/>
      <c r="O42" s="47"/>
      <c r="P42" s="47"/>
      <c r="Q42" s="54" t="s">
        <v>88</v>
      </c>
      <c r="R42" s="52"/>
      <c r="S42" s="53"/>
      <c r="T42" s="51"/>
    </row>
    <row r="43" spans="2:20" ht="15" customHeight="1" x14ac:dyDescent="0.25">
      <c r="C43" s="144"/>
      <c r="D43" s="147"/>
      <c r="E43" s="147"/>
      <c r="F43" s="148"/>
      <c r="G43" s="348"/>
      <c r="H43" s="348"/>
      <c r="I43" s="348"/>
      <c r="J43" s="348"/>
      <c r="K43" s="42"/>
      <c r="L43" s="42"/>
      <c r="M43" s="42"/>
      <c r="N43" s="42"/>
      <c r="O43" s="45"/>
      <c r="P43" s="45"/>
      <c r="Q43" s="59"/>
      <c r="R43" s="50"/>
      <c r="S43" s="50"/>
      <c r="T43" s="51"/>
    </row>
    <row r="44" spans="2:20" ht="15" customHeight="1" x14ac:dyDescent="0.25">
      <c r="B44" s="65"/>
      <c r="C44" s="9"/>
      <c r="D44" s="146"/>
      <c r="E44" s="146"/>
      <c r="F44" s="9"/>
      <c r="G44" s="9"/>
      <c r="H44" s="9"/>
      <c r="I44" s="9"/>
      <c r="J44" s="9"/>
      <c r="K44" s="9"/>
      <c r="L44" s="9"/>
      <c r="M44" s="9"/>
      <c r="N44" s="9"/>
      <c r="O44" s="45"/>
      <c r="P44" s="45"/>
      <c r="T44" s="51"/>
    </row>
    <row r="45" spans="2:20" x14ac:dyDescent="0.25">
      <c r="D45" s="132"/>
      <c r="E45" s="132"/>
    </row>
    <row r="46" spans="2:20" ht="15" customHeight="1" x14ac:dyDescent="0.25">
      <c r="D46" s="132"/>
      <c r="E46" s="132"/>
    </row>
    <row r="47" spans="2:20" x14ac:dyDescent="0.25">
      <c r="D47" s="132"/>
      <c r="E47" s="161">
        <f>SUM(E43:E46)</f>
        <v>0</v>
      </c>
    </row>
    <row r="48" spans="2:20" x14ac:dyDescent="0.25">
      <c r="D48" s="132"/>
      <c r="E48" s="132"/>
    </row>
    <row r="49" spans="4:19" x14ac:dyDescent="0.25">
      <c r="D49" s="132"/>
      <c r="E49" s="132"/>
    </row>
    <row r="50" spans="4:19" x14ac:dyDescent="0.25">
      <c r="D50" s="132"/>
      <c r="E50" s="132"/>
      <c r="Q50" s="325" t="s">
        <v>343</v>
      </c>
      <c r="R50" s="325"/>
      <c r="S50" s="327">
        <f>S17</f>
        <v>182180.52000000002</v>
      </c>
    </row>
    <row r="51" spans="4:19" x14ac:dyDescent="0.25">
      <c r="D51" s="132"/>
      <c r="E51" s="132"/>
    </row>
    <row r="52" spans="4:19" x14ac:dyDescent="0.25">
      <c r="E52" s="132"/>
    </row>
  </sheetData>
  <mergeCells count="9">
    <mergeCell ref="G43:J43"/>
    <mergeCell ref="Q1:S1"/>
    <mergeCell ref="Q2:S2"/>
    <mergeCell ref="G42:H42"/>
    <mergeCell ref="B25:F25"/>
    <mergeCell ref="B21:F21"/>
    <mergeCell ref="B23:F23"/>
    <mergeCell ref="B26:F26"/>
    <mergeCell ref="B11:B12"/>
  </mergeCells>
  <hyperlinks>
    <hyperlink ref="B26" r:id="rId1"/>
  </hyperlinks>
  <printOptions horizontalCentered="1" gridLines="1"/>
  <pageMargins left="0" right="0" top="0.75" bottom="0.75" header="0.3" footer="0.3"/>
  <pageSetup scale="48" orientation="landscape" horizontalDpi="1200" verticalDpi="1200"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0"/>
  <sheetViews>
    <sheetView topLeftCell="C16" zoomScale="90" zoomScaleNormal="90" workbookViewId="0">
      <selection activeCell="S50" sqref="S50"/>
    </sheetView>
  </sheetViews>
  <sheetFormatPr defaultColWidth="9.140625" defaultRowHeight="15" x14ac:dyDescent="0.25"/>
  <cols>
    <col min="1" max="1" width="9.140625" style="2" hidden="1" customWidth="1"/>
    <col min="2" max="2" width="58.140625" style="2" customWidth="1"/>
    <col min="3" max="3" width="28.28515625" style="2" customWidth="1"/>
    <col min="4" max="4" width="13.7109375" style="2" customWidth="1"/>
    <col min="5" max="5" width="17" style="2" bestFit="1" customWidth="1"/>
    <col min="6" max="6" width="22.5703125" style="2" customWidth="1"/>
    <col min="7" max="7" width="11.42578125" style="2" customWidth="1"/>
    <col min="8" max="8" width="14.85546875" style="2" customWidth="1"/>
    <col min="9" max="9" width="13.42578125" style="2" customWidth="1"/>
    <col min="10" max="10" width="15.42578125" style="2" customWidth="1"/>
    <col min="11" max="11" width="8" style="2" customWidth="1"/>
    <col min="12" max="12" width="18.1406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6.7109375" style="2" customWidth="1"/>
    <col min="20" max="16384" width="9.140625" style="2"/>
  </cols>
  <sheetData>
    <row r="1" spans="1:20" ht="14.45" customHeight="1" x14ac:dyDescent="0.25">
      <c r="A1" s="2" t="s">
        <v>342</v>
      </c>
      <c r="B1" s="8" t="s">
        <v>40</v>
      </c>
      <c r="Q1" s="335" t="s">
        <v>230</v>
      </c>
      <c r="R1" s="335"/>
      <c r="S1" s="335"/>
    </row>
    <row r="2" spans="1:20" x14ac:dyDescent="0.25">
      <c r="B2" s="90" t="s">
        <v>148</v>
      </c>
      <c r="C2" s="187">
        <v>44377</v>
      </c>
      <c r="M2" s="73"/>
      <c r="N2" s="73"/>
      <c r="P2" s="29"/>
      <c r="Q2" s="334" t="s">
        <v>338</v>
      </c>
      <c r="R2" s="334"/>
      <c r="S2" s="334"/>
    </row>
    <row r="3" spans="1:20" ht="15.75" thickBot="1" x14ac:dyDescent="0.3">
      <c r="A3" s="2" t="s">
        <v>16</v>
      </c>
      <c r="B3" s="44" t="s">
        <v>54</v>
      </c>
      <c r="C3" s="8"/>
      <c r="D3" s="8"/>
      <c r="E3" s="8"/>
      <c r="P3" s="29"/>
      <c r="Q3" s="45"/>
      <c r="R3" s="30"/>
    </row>
    <row r="4" spans="1:20" x14ac:dyDescent="0.25">
      <c r="B4" s="8" t="s">
        <v>174</v>
      </c>
      <c r="M4" s="87" t="s">
        <v>28</v>
      </c>
      <c r="N4" s="87" t="s">
        <v>28</v>
      </c>
      <c r="O4" s="87" t="s">
        <v>28</v>
      </c>
      <c r="P4" s="9"/>
      <c r="Q4" s="91" t="s">
        <v>29</v>
      </c>
      <c r="R4" s="91" t="s">
        <v>31</v>
      </c>
      <c r="S4" s="91" t="s">
        <v>23</v>
      </c>
      <c r="T4" s="7"/>
    </row>
    <row r="5" spans="1:20" ht="15.75" thickBot="1" x14ac:dyDescent="0.3">
      <c r="G5" s="188" t="s">
        <v>231</v>
      </c>
      <c r="H5" s="188" t="s">
        <v>231</v>
      </c>
      <c r="M5" s="88" t="s">
        <v>27</v>
      </c>
      <c r="N5" s="88" t="s">
        <v>26</v>
      </c>
      <c r="O5" s="88" t="s">
        <v>25</v>
      </c>
      <c r="P5" s="9"/>
      <c r="Q5" s="92" t="s">
        <v>30</v>
      </c>
      <c r="R5" s="92" t="s">
        <v>30</v>
      </c>
      <c r="S5" s="92" t="s">
        <v>30</v>
      </c>
      <c r="T5" s="7"/>
    </row>
    <row r="6" spans="1:20" ht="85.5" customHeight="1" thickBot="1" x14ac:dyDescent="0.3">
      <c r="B6" s="86" t="s">
        <v>1</v>
      </c>
      <c r="C6" s="86" t="s">
        <v>127</v>
      </c>
      <c r="D6" s="86" t="s">
        <v>107</v>
      </c>
      <c r="E6" s="86" t="s">
        <v>3</v>
      </c>
      <c r="F6" s="86" t="s">
        <v>4</v>
      </c>
      <c r="G6" s="110" t="s">
        <v>136</v>
      </c>
      <c r="H6" s="110" t="s">
        <v>137</v>
      </c>
      <c r="I6" s="110" t="s">
        <v>133</v>
      </c>
      <c r="J6" s="110" t="s">
        <v>134</v>
      </c>
      <c r="K6" s="110" t="s">
        <v>121</v>
      </c>
      <c r="L6" s="85" t="s">
        <v>5</v>
      </c>
      <c r="M6" s="89" t="s">
        <v>6</v>
      </c>
      <c r="N6" s="89" t="s">
        <v>6</v>
      </c>
      <c r="O6" s="89" t="s">
        <v>6</v>
      </c>
      <c r="P6" s="9"/>
      <c r="Q6" s="93"/>
      <c r="R6" s="99" t="s">
        <v>32</v>
      </c>
      <c r="S6" s="100" t="s">
        <v>33</v>
      </c>
    </row>
    <row r="7" spans="1:20" ht="33.75" customHeight="1" x14ac:dyDescent="0.25">
      <c r="B7" s="2" t="s">
        <v>128</v>
      </c>
      <c r="C7" s="243" t="s">
        <v>122</v>
      </c>
      <c r="D7" s="95" t="s">
        <v>248</v>
      </c>
      <c r="E7" s="2" t="s">
        <v>233</v>
      </c>
      <c r="F7" s="2" t="s">
        <v>7</v>
      </c>
      <c r="G7" s="191">
        <v>2.9600000000000001E-2</v>
      </c>
      <c r="H7" s="191">
        <v>0.1744</v>
      </c>
      <c r="I7" s="192">
        <v>44377</v>
      </c>
      <c r="J7" s="192">
        <v>44378</v>
      </c>
      <c r="K7" s="192">
        <v>44013</v>
      </c>
      <c r="L7" s="193" t="s">
        <v>234</v>
      </c>
      <c r="M7" s="72">
        <v>33135.339999999997</v>
      </c>
      <c r="N7" s="82"/>
      <c r="O7" s="68">
        <f>M7+N7</f>
        <v>33135.339999999997</v>
      </c>
      <c r="P7" s="153"/>
      <c r="Q7" s="68">
        <v>33135.339999999997</v>
      </c>
      <c r="R7" s="60"/>
      <c r="S7" s="70">
        <f>Q7+R7</f>
        <v>33135.339999999997</v>
      </c>
    </row>
    <row r="8" spans="1:20" ht="32.450000000000003" customHeight="1" x14ac:dyDescent="0.25">
      <c r="B8" s="2" t="s">
        <v>241</v>
      </c>
      <c r="C8" s="243" t="s">
        <v>242</v>
      </c>
      <c r="D8" s="95" t="s">
        <v>243</v>
      </c>
      <c r="E8" s="2" t="s">
        <v>244</v>
      </c>
      <c r="F8" s="2" t="s">
        <v>7</v>
      </c>
      <c r="G8" s="191">
        <v>2.9600000000000001E-2</v>
      </c>
      <c r="H8" s="191">
        <v>0.1744</v>
      </c>
      <c r="I8" s="192">
        <v>44834</v>
      </c>
      <c r="J8" s="192">
        <v>44849</v>
      </c>
      <c r="K8" s="192">
        <v>43614</v>
      </c>
      <c r="L8" s="193" t="s">
        <v>311</v>
      </c>
      <c r="M8" s="72">
        <v>250618.82</v>
      </c>
      <c r="N8" s="82"/>
      <c r="O8" s="68">
        <f>M8+N8</f>
        <v>250618.82</v>
      </c>
      <c r="P8" s="153"/>
      <c r="Q8" s="68">
        <v>181346.81</v>
      </c>
      <c r="R8" s="60"/>
      <c r="S8" s="70">
        <f>Q8+R8</f>
        <v>181346.81</v>
      </c>
    </row>
    <row r="9" spans="1:20" ht="32.450000000000003" customHeight="1" x14ac:dyDescent="0.25">
      <c r="B9" s="2" t="s">
        <v>283</v>
      </c>
      <c r="C9" s="243" t="s">
        <v>264</v>
      </c>
      <c r="D9" s="95" t="s">
        <v>254</v>
      </c>
      <c r="E9" s="2" t="s">
        <v>284</v>
      </c>
      <c r="F9" s="2" t="s">
        <v>7</v>
      </c>
      <c r="G9" s="191">
        <f t="shared" ref="G9:H9" si="0">+G8</f>
        <v>2.9600000000000001E-2</v>
      </c>
      <c r="H9" s="191">
        <f t="shared" si="0"/>
        <v>0.1744</v>
      </c>
      <c r="I9" s="192">
        <v>44377</v>
      </c>
      <c r="J9" s="192">
        <v>44392</v>
      </c>
      <c r="K9" s="192">
        <v>43613</v>
      </c>
      <c r="L9" s="193" t="s">
        <v>234</v>
      </c>
      <c r="M9" s="81">
        <v>7302.48</v>
      </c>
      <c r="N9" s="69"/>
      <c r="O9" s="69">
        <f>M9+N9</f>
        <v>7302.48</v>
      </c>
      <c r="P9" s="69"/>
      <c r="Q9" s="69">
        <f>7302.48-7302.48</f>
        <v>0</v>
      </c>
      <c r="R9" s="69"/>
      <c r="S9" s="70">
        <f>Q9+R9</f>
        <v>0</v>
      </c>
    </row>
    <row r="10" spans="1:20" ht="32.450000000000003" customHeight="1" x14ac:dyDescent="0.25">
      <c r="B10" s="2" t="s">
        <v>314</v>
      </c>
      <c r="C10" s="243" t="s">
        <v>242</v>
      </c>
      <c r="D10" s="95" t="s">
        <v>243</v>
      </c>
      <c r="E10" s="2" t="s">
        <v>315</v>
      </c>
      <c r="F10" s="2" t="s">
        <v>7</v>
      </c>
      <c r="G10" s="313">
        <f>+G8</f>
        <v>2.9600000000000001E-2</v>
      </c>
      <c r="H10" s="313">
        <f>+H8</f>
        <v>0.1744</v>
      </c>
      <c r="I10" s="312">
        <v>44773</v>
      </c>
      <c r="J10" s="312">
        <v>44788</v>
      </c>
      <c r="K10" s="192">
        <v>43980</v>
      </c>
      <c r="L10" s="193" t="s">
        <v>316</v>
      </c>
      <c r="M10" s="81">
        <v>11937.59</v>
      </c>
      <c r="N10" s="72"/>
      <c r="O10" s="69">
        <f>M10+N10</f>
        <v>11937.59</v>
      </c>
      <c r="P10" s="69"/>
      <c r="Q10" s="69"/>
      <c r="R10" s="69"/>
      <c r="S10" s="70">
        <f>Q10+R10</f>
        <v>0</v>
      </c>
    </row>
    <row r="11" spans="1:20" ht="32.450000000000003" customHeight="1" x14ac:dyDescent="0.25">
      <c r="B11" s="2" t="s">
        <v>318</v>
      </c>
      <c r="C11" s="243" t="s">
        <v>242</v>
      </c>
      <c r="D11" s="95" t="s">
        <v>243</v>
      </c>
      <c r="E11" s="2" t="s">
        <v>319</v>
      </c>
      <c r="F11" s="2" t="s">
        <v>7</v>
      </c>
      <c r="G11" s="191">
        <v>2.9600000000000001E-2</v>
      </c>
      <c r="H11" s="191">
        <v>0.1744</v>
      </c>
      <c r="I11" s="192">
        <v>44561</v>
      </c>
      <c r="J11" s="192">
        <v>44576</v>
      </c>
      <c r="K11" s="192">
        <v>43980</v>
      </c>
      <c r="L11" s="193" t="s">
        <v>320</v>
      </c>
      <c r="M11" s="81">
        <v>3000</v>
      </c>
      <c r="N11" s="69"/>
      <c r="O11" s="69">
        <f t="shared" ref="O11:O13" si="1">M11+N11</f>
        <v>3000</v>
      </c>
      <c r="P11" s="68"/>
      <c r="Q11" s="69"/>
      <c r="R11" s="69"/>
      <c r="S11" s="70">
        <f t="shared" ref="S11:S13" si="2">Q11+R11</f>
        <v>0</v>
      </c>
    </row>
    <row r="12" spans="1:20" ht="32.450000000000003" customHeight="1" x14ac:dyDescent="0.25">
      <c r="B12" s="2" t="s">
        <v>321</v>
      </c>
      <c r="C12" s="243" t="s">
        <v>264</v>
      </c>
      <c r="D12" s="95" t="s">
        <v>254</v>
      </c>
      <c r="E12" s="2" t="s">
        <v>322</v>
      </c>
      <c r="F12" s="2" t="s">
        <v>7</v>
      </c>
      <c r="G12" s="191">
        <v>2.9600000000000001E-2</v>
      </c>
      <c r="H12" s="191">
        <v>0.1744</v>
      </c>
      <c r="I12" s="192">
        <v>44742</v>
      </c>
      <c r="J12" s="192">
        <v>44757</v>
      </c>
      <c r="K12" s="192">
        <v>43979</v>
      </c>
      <c r="L12" s="193" t="s">
        <v>323</v>
      </c>
      <c r="M12" s="81">
        <v>1027</v>
      </c>
      <c r="N12" s="69"/>
      <c r="O12" s="69">
        <f t="shared" si="1"/>
        <v>1027</v>
      </c>
      <c r="P12" s="68"/>
      <c r="Q12" s="69"/>
      <c r="R12" s="69"/>
      <c r="S12" s="70">
        <f t="shared" si="2"/>
        <v>0</v>
      </c>
    </row>
    <row r="13" spans="1:20" ht="32.450000000000003" customHeight="1" x14ac:dyDescent="0.25">
      <c r="B13" s="2" t="s">
        <v>327</v>
      </c>
      <c r="C13" s="243" t="s">
        <v>242</v>
      </c>
      <c r="D13" s="95" t="s">
        <v>328</v>
      </c>
      <c r="E13" s="2" t="s">
        <v>329</v>
      </c>
      <c r="F13" s="2" t="s">
        <v>7</v>
      </c>
      <c r="G13" s="191">
        <v>2.9600000000000001E-2</v>
      </c>
      <c r="H13" s="191">
        <v>0.1744</v>
      </c>
      <c r="I13" s="192">
        <v>44440</v>
      </c>
      <c r="J13" s="192">
        <v>44440</v>
      </c>
      <c r="K13" s="192">
        <v>44201</v>
      </c>
      <c r="L13" s="193" t="s">
        <v>330</v>
      </c>
      <c r="M13" s="81">
        <v>539029.69999999995</v>
      </c>
      <c r="N13" s="69"/>
      <c r="O13" s="69">
        <f t="shared" si="1"/>
        <v>539029.69999999995</v>
      </c>
      <c r="P13" s="68"/>
      <c r="Q13" s="69"/>
      <c r="R13" s="69"/>
      <c r="S13" s="70">
        <f t="shared" si="2"/>
        <v>0</v>
      </c>
    </row>
    <row r="14" spans="1:20" x14ac:dyDescent="0.25">
      <c r="C14" s="95"/>
      <c r="D14" s="95"/>
      <c r="G14" s="126"/>
      <c r="H14" s="127"/>
      <c r="I14" s="119"/>
      <c r="J14" s="119"/>
      <c r="K14" s="119"/>
      <c r="L14" s="95"/>
      <c r="M14" s="32"/>
      <c r="N14" s="152"/>
      <c r="O14" s="25"/>
      <c r="P14" s="69"/>
      <c r="Q14" s="25"/>
      <c r="R14" s="25"/>
      <c r="S14" s="26"/>
    </row>
    <row r="15" spans="1:20" ht="21" customHeight="1" x14ac:dyDescent="0.25">
      <c r="C15" s="94"/>
      <c r="D15" s="94"/>
      <c r="I15" s="119"/>
      <c r="J15" s="119"/>
      <c r="K15" s="119"/>
      <c r="L15" s="5" t="s">
        <v>38</v>
      </c>
      <c r="M15" s="68">
        <f>SUM(M7:M14)</f>
        <v>846050.92999999993</v>
      </c>
      <c r="N15" s="68">
        <f t="shared" ref="N15:O15" si="3">SUM(N7:N14)</f>
        <v>0</v>
      </c>
      <c r="O15" s="68">
        <f t="shared" si="3"/>
        <v>846050.92999999993</v>
      </c>
      <c r="Q15" s="68">
        <f t="shared" ref="Q15:S15" si="4">SUM(Q7:Q14)</f>
        <v>214482.15</v>
      </c>
      <c r="R15" s="68">
        <f t="shared" si="4"/>
        <v>0</v>
      </c>
      <c r="S15" s="23">
        <f t="shared" si="4"/>
        <v>214482.15</v>
      </c>
    </row>
    <row r="16" spans="1:20" x14ac:dyDescent="0.25">
      <c r="C16" s="94"/>
      <c r="D16" s="94"/>
      <c r="I16" s="119"/>
      <c r="J16" s="119"/>
      <c r="K16" s="119"/>
      <c r="L16" s="5"/>
      <c r="M16" s="68"/>
      <c r="N16" s="68"/>
      <c r="O16" s="68"/>
      <c r="Q16" s="68"/>
      <c r="R16" s="68"/>
      <c r="S16" s="70"/>
    </row>
    <row r="17" spans="2:19" x14ac:dyDescent="0.25">
      <c r="B17" s="8" t="s">
        <v>125</v>
      </c>
      <c r="C17" s="94"/>
      <c r="D17" s="94"/>
      <c r="L17" s="5"/>
      <c r="M17" s="68"/>
      <c r="N17" s="68"/>
      <c r="O17" s="68"/>
      <c r="Q17" s="68"/>
      <c r="R17" s="68"/>
      <c r="S17" s="70"/>
    </row>
    <row r="18" spans="2:19" ht="29.25" customHeight="1" x14ac:dyDescent="0.25">
      <c r="B18" s="338" t="s">
        <v>126</v>
      </c>
      <c r="C18" s="338"/>
      <c r="D18" s="338"/>
      <c r="E18" s="338"/>
      <c r="F18" s="338"/>
      <c r="L18" s="5"/>
      <c r="M18" s="68"/>
      <c r="N18" s="68"/>
      <c r="O18" s="68"/>
      <c r="Q18" s="68"/>
      <c r="R18" s="68"/>
      <c r="S18" s="70"/>
    </row>
    <row r="19" spans="2:19" x14ac:dyDescent="0.25">
      <c r="C19" s="94"/>
      <c r="D19" s="94"/>
      <c r="L19" s="5"/>
      <c r="M19" s="68"/>
      <c r="N19" s="68"/>
      <c r="O19" s="68"/>
      <c r="Q19" s="68"/>
      <c r="R19" s="68"/>
      <c r="S19" s="70"/>
    </row>
    <row r="20" spans="2:19" ht="48.75" customHeight="1" x14ac:dyDescent="0.25">
      <c r="B20" s="338" t="s">
        <v>129</v>
      </c>
      <c r="C20" s="338"/>
      <c r="D20" s="338"/>
      <c r="E20" s="338"/>
      <c r="F20" s="338"/>
      <c r="L20" s="5"/>
      <c r="M20" s="68"/>
      <c r="N20" s="68"/>
      <c r="O20" s="68"/>
      <c r="Q20" s="68"/>
      <c r="R20" s="68"/>
      <c r="S20" s="70"/>
    </row>
    <row r="21" spans="2:19" x14ac:dyDescent="0.25">
      <c r="B21" s="198"/>
      <c r="C21" s="198"/>
      <c r="D21" s="198"/>
      <c r="E21" s="198"/>
      <c r="F21" s="198"/>
      <c r="L21" s="5"/>
      <c r="M21" s="68"/>
      <c r="N21" s="68"/>
      <c r="O21" s="68"/>
      <c r="Q21" s="68"/>
      <c r="R21" s="68"/>
      <c r="S21" s="70"/>
    </row>
    <row r="22" spans="2:19" ht="32.25" customHeight="1" x14ac:dyDescent="0.25">
      <c r="B22" s="338" t="s">
        <v>160</v>
      </c>
      <c r="C22" s="338"/>
      <c r="D22" s="338"/>
      <c r="E22" s="338"/>
      <c r="F22" s="338"/>
      <c r="L22" s="5"/>
      <c r="M22" s="68"/>
      <c r="N22" s="68"/>
      <c r="O22" s="68"/>
      <c r="Q22" s="68"/>
      <c r="R22" s="68"/>
      <c r="S22" s="70"/>
    </row>
    <row r="23" spans="2:19" ht="15" customHeight="1" x14ac:dyDescent="0.25">
      <c r="B23" s="346" t="s">
        <v>159</v>
      </c>
      <c r="C23" s="338"/>
      <c r="D23" s="338"/>
      <c r="E23" s="338"/>
      <c r="F23" s="338"/>
      <c r="L23" s="5"/>
      <c r="M23" s="68"/>
      <c r="N23" s="68"/>
      <c r="O23" s="68"/>
      <c r="Q23" s="68"/>
      <c r="R23" s="68"/>
      <c r="S23" s="70"/>
    </row>
    <row r="24" spans="2:19" ht="15" customHeight="1" x14ac:dyDescent="0.25">
      <c r="B24" s="200"/>
      <c r="C24" s="200"/>
      <c r="D24" s="200"/>
      <c r="E24" s="200"/>
      <c r="L24" s="5"/>
      <c r="M24" s="68"/>
      <c r="N24" s="68"/>
      <c r="O24" s="68"/>
      <c r="Q24" s="68"/>
      <c r="R24" s="68"/>
      <c r="S24" s="70"/>
    </row>
    <row r="25" spans="2:19" x14ac:dyDescent="0.25">
      <c r="B25" s="111"/>
      <c r="C25" s="111"/>
      <c r="D25" s="111"/>
      <c r="E25" s="111"/>
      <c r="L25" s="5"/>
      <c r="M25" s="68"/>
      <c r="N25" s="68"/>
      <c r="O25" s="68"/>
      <c r="Q25" s="68"/>
      <c r="R25" s="68"/>
      <c r="S25" s="70"/>
    </row>
    <row r="26" spans="2:19" x14ac:dyDescent="0.25">
      <c r="B26" s="7" t="s">
        <v>109</v>
      </c>
      <c r="C26" s="104" t="s">
        <v>112</v>
      </c>
      <c r="D26" s="104" t="s">
        <v>113</v>
      </c>
      <c r="E26" s="111"/>
      <c r="L26" s="5"/>
      <c r="M26" s="68"/>
      <c r="N26" s="68"/>
      <c r="O26" s="68"/>
      <c r="Q26" s="68"/>
      <c r="R26" s="68"/>
      <c r="S26" s="70"/>
    </row>
    <row r="27" spans="2:19" x14ac:dyDescent="0.25">
      <c r="B27" s="106" t="s">
        <v>111</v>
      </c>
      <c r="C27" s="94" t="s">
        <v>114</v>
      </c>
      <c r="D27" s="94" t="s">
        <v>119</v>
      </c>
      <c r="L27" s="5"/>
      <c r="M27" s="68"/>
      <c r="N27" s="68"/>
      <c r="O27" s="68"/>
      <c r="Q27" s="68"/>
      <c r="R27" s="68"/>
      <c r="S27" s="70"/>
    </row>
    <row r="28" spans="2:19" ht="15" customHeight="1" x14ac:dyDescent="0.25">
      <c r="B28" s="2" t="s">
        <v>252</v>
      </c>
      <c r="C28" s="94" t="s">
        <v>135</v>
      </c>
      <c r="D28" s="94" t="s">
        <v>147</v>
      </c>
      <c r="L28" s="5"/>
      <c r="M28" s="68"/>
      <c r="N28" s="68"/>
      <c r="O28" s="68"/>
      <c r="Q28" s="68"/>
      <c r="R28" s="68"/>
      <c r="S28" s="70"/>
    </row>
    <row r="29" spans="2:19" ht="15" customHeight="1" x14ac:dyDescent="0.25">
      <c r="B29" s="2" t="s">
        <v>260</v>
      </c>
      <c r="C29" s="94" t="s">
        <v>135</v>
      </c>
      <c r="D29" s="94" t="s">
        <v>147</v>
      </c>
      <c r="L29" s="5"/>
      <c r="M29" s="68"/>
      <c r="N29" s="68"/>
      <c r="O29" s="68"/>
      <c r="Q29" s="68"/>
      <c r="R29" s="68"/>
      <c r="S29" s="70"/>
    </row>
    <row r="30" spans="2:19" ht="15" customHeight="1" x14ac:dyDescent="0.25">
      <c r="B30" s="2" t="s">
        <v>314</v>
      </c>
      <c r="C30" s="94" t="s">
        <v>135</v>
      </c>
      <c r="D30" s="94" t="s">
        <v>147</v>
      </c>
      <c r="L30" s="5"/>
      <c r="M30" s="68"/>
      <c r="N30" s="68"/>
      <c r="O30" s="68"/>
      <c r="Q30" s="68"/>
      <c r="R30" s="68"/>
      <c r="S30" s="70"/>
    </row>
    <row r="31" spans="2:19" ht="15" customHeight="1" x14ac:dyDescent="0.25">
      <c r="B31" s="2" t="s">
        <v>318</v>
      </c>
      <c r="C31" s="94" t="s">
        <v>135</v>
      </c>
      <c r="D31" s="94" t="s">
        <v>147</v>
      </c>
      <c r="L31" s="5"/>
      <c r="M31" s="68"/>
      <c r="N31" s="68"/>
      <c r="O31" s="68"/>
      <c r="Q31" s="68"/>
      <c r="R31" s="68"/>
      <c r="S31" s="70"/>
    </row>
    <row r="32" spans="2:19" ht="15" customHeight="1" x14ac:dyDescent="0.25">
      <c r="B32" s="2" t="s">
        <v>321</v>
      </c>
      <c r="C32" s="94" t="s">
        <v>135</v>
      </c>
      <c r="D32" s="94" t="s">
        <v>147</v>
      </c>
      <c r="L32" s="5"/>
      <c r="M32" s="68"/>
      <c r="N32" s="68"/>
      <c r="O32" s="68"/>
      <c r="Q32" s="68"/>
      <c r="R32" s="68"/>
      <c r="S32" s="70"/>
    </row>
    <row r="33" spans="2:20" ht="15" customHeight="1" x14ac:dyDescent="0.25">
      <c r="B33" s="2" t="s">
        <v>326</v>
      </c>
      <c r="C33" s="94" t="s">
        <v>135</v>
      </c>
      <c r="D33" s="94" t="s">
        <v>147</v>
      </c>
      <c r="L33" s="5"/>
      <c r="M33" s="68"/>
      <c r="N33" s="68"/>
      <c r="O33" s="68"/>
      <c r="Q33" s="68"/>
      <c r="R33" s="68"/>
      <c r="S33" s="70"/>
    </row>
    <row r="34" spans="2:20" ht="15" customHeight="1" x14ac:dyDescent="0.25">
      <c r="C34" s="94"/>
      <c r="D34" s="94"/>
      <c r="L34" s="5"/>
      <c r="M34" s="68"/>
      <c r="N34" s="68"/>
      <c r="O34" s="68"/>
      <c r="Q34" s="68"/>
      <c r="R34" s="68"/>
      <c r="S34" s="70"/>
    </row>
    <row r="35" spans="2:20" x14ac:dyDescent="0.25">
      <c r="B35" s="281" t="s">
        <v>235</v>
      </c>
      <c r="C35" s="94"/>
      <c r="D35" s="94"/>
      <c r="H35" s="272"/>
      <c r="L35" s="5"/>
      <c r="M35" s="68"/>
      <c r="N35" s="68"/>
      <c r="O35" s="68"/>
      <c r="Q35" s="68"/>
      <c r="R35" s="68"/>
      <c r="S35" s="70"/>
    </row>
    <row r="36" spans="2:20" x14ac:dyDescent="0.25">
      <c r="B36" s="278" t="s">
        <v>236</v>
      </c>
      <c r="C36" s="94"/>
      <c r="D36" s="94"/>
      <c r="L36" s="5"/>
      <c r="M36" s="68"/>
      <c r="N36" s="68"/>
      <c r="O36" s="68"/>
      <c r="Q36" s="68"/>
      <c r="R36" s="68"/>
      <c r="S36" s="70"/>
    </row>
    <row r="37" spans="2:20" x14ac:dyDescent="0.25">
      <c r="B37" s="10"/>
      <c r="C37" s="10"/>
      <c r="D37" s="10"/>
      <c r="E37" s="10"/>
      <c r="F37" s="10"/>
      <c r="G37" s="10"/>
      <c r="H37" s="10"/>
      <c r="I37" s="10"/>
      <c r="J37" s="10"/>
      <c r="K37" s="10"/>
      <c r="L37" s="10"/>
      <c r="M37" s="10"/>
      <c r="N37" s="10"/>
      <c r="O37" s="10"/>
      <c r="P37" s="10"/>
      <c r="Q37" s="10"/>
      <c r="R37" s="10"/>
      <c r="S37" s="28"/>
    </row>
    <row r="38" spans="2:20" x14ac:dyDescent="0.25">
      <c r="P38" s="29"/>
      <c r="Q38" s="58" t="s">
        <v>90</v>
      </c>
      <c r="R38" s="51"/>
      <c r="S38" s="177"/>
    </row>
    <row r="39" spans="2:20" ht="15" customHeight="1" x14ac:dyDescent="0.25">
      <c r="B39" s="17" t="s">
        <v>39</v>
      </c>
      <c r="C39" s="98" t="s">
        <v>2</v>
      </c>
      <c r="D39" s="98"/>
      <c r="E39" s="98" t="s">
        <v>34</v>
      </c>
      <c r="F39" s="98" t="s">
        <v>35</v>
      </c>
      <c r="G39" s="123"/>
      <c r="H39" s="123"/>
      <c r="I39" s="117"/>
      <c r="J39" s="98"/>
      <c r="K39" s="98"/>
      <c r="L39" s="98" t="s">
        <v>36</v>
      </c>
      <c r="M39" s="98" t="s">
        <v>37</v>
      </c>
      <c r="N39" s="10"/>
      <c r="O39" s="10"/>
      <c r="P39" s="10"/>
      <c r="Q39" s="54" t="s">
        <v>88</v>
      </c>
      <c r="R39" s="54"/>
      <c r="S39" s="55"/>
    </row>
    <row r="40" spans="2:20" ht="15" customHeight="1" x14ac:dyDescent="0.25">
      <c r="B40" s="65"/>
      <c r="C40" s="9"/>
      <c r="D40" s="9"/>
      <c r="E40" s="9"/>
      <c r="F40" s="9"/>
      <c r="G40" s="9"/>
      <c r="H40" s="9"/>
      <c r="I40" s="9"/>
      <c r="J40" s="9"/>
      <c r="K40" s="9"/>
      <c r="L40" s="9"/>
      <c r="M40" s="9"/>
      <c r="Q40" s="58"/>
      <c r="R40" s="51"/>
      <c r="S40" s="51"/>
    </row>
    <row r="41" spans="2:20" ht="15" customHeight="1" x14ac:dyDescent="0.25">
      <c r="B41" s="65"/>
      <c r="C41" s="9"/>
      <c r="D41" s="9"/>
      <c r="E41" s="9"/>
      <c r="F41" s="9"/>
      <c r="G41" s="9"/>
      <c r="H41" s="9"/>
      <c r="I41" s="9"/>
      <c r="J41" s="9"/>
      <c r="K41" s="9"/>
      <c r="L41" s="9"/>
      <c r="M41" s="9"/>
      <c r="R41" s="51"/>
      <c r="S41" s="51"/>
    </row>
    <row r="42" spans="2:20" x14ac:dyDescent="0.25">
      <c r="B42" s="11"/>
      <c r="C42" s="9"/>
      <c r="D42" s="9"/>
      <c r="E42" s="9"/>
      <c r="N42" s="45"/>
      <c r="O42" s="45"/>
      <c r="P42" s="45"/>
      <c r="Q42" s="51"/>
      <c r="R42" s="51"/>
      <c r="S42" s="51"/>
      <c r="T42" s="51"/>
    </row>
    <row r="43" spans="2:20" x14ac:dyDescent="0.25">
      <c r="B43" s="11"/>
      <c r="C43" s="9"/>
      <c r="D43" s="9"/>
      <c r="E43" s="9"/>
      <c r="N43" s="45"/>
      <c r="O43" s="45"/>
      <c r="P43" s="45"/>
      <c r="Q43" s="51"/>
      <c r="R43" s="51"/>
      <c r="S43" s="51"/>
      <c r="T43" s="51"/>
    </row>
    <row r="44" spans="2:20" x14ac:dyDescent="0.25">
      <c r="B44" s="11"/>
      <c r="C44" s="9"/>
      <c r="D44" s="9"/>
      <c r="E44" s="9"/>
      <c r="N44" s="45"/>
      <c r="O44" s="45"/>
      <c r="P44" s="45"/>
      <c r="Q44" s="51"/>
      <c r="R44" s="51"/>
      <c r="S44" s="51"/>
      <c r="T44" s="51"/>
    </row>
    <row r="45" spans="2:20" x14ac:dyDescent="0.25">
      <c r="B45" s="11"/>
      <c r="C45" s="9"/>
      <c r="D45" s="9"/>
      <c r="E45" s="9"/>
      <c r="N45" s="45"/>
      <c r="O45" s="45"/>
      <c r="P45" s="45"/>
      <c r="Q45" s="51"/>
      <c r="R45" s="51"/>
      <c r="S45" s="51"/>
      <c r="T45" s="51"/>
    </row>
    <row r="46" spans="2:20" x14ac:dyDescent="0.25">
      <c r="B46" s="12"/>
      <c r="C46" s="13"/>
      <c r="D46" s="13"/>
      <c r="E46" s="14"/>
      <c r="F46" s="15"/>
      <c r="G46" s="15"/>
      <c r="H46" s="15"/>
      <c r="I46" s="15"/>
      <c r="J46" s="15"/>
      <c r="K46" s="15"/>
      <c r="L46" s="16"/>
      <c r="M46" s="31"/>
      <c r="N46" s="18"/>
      <c r="O46" s="18"/>
      <c r="P46" s="18"/>
      <c r="T46" s="51"/>
    </row>
    <row r="50" spans="17:19" x14ac:dyDescent="0.25">
      <c r="Q50" s="325" t="s">
        <v>343</v>
      </c>
      <c r="R50" s="325"/>
      <c r="S50" s="327">
        <f>S15</f>
        <v>214482.15</v>
      </c>
    </row>
  </sheetData>
  <mergeCells count="6">
    <mergeCell ref="B23:F23"/>
    <mergeCell ref="Q2:S2"/>
    <mergeCell ref="Q1:S1"/>
    <mergeCell ref="B22:F22"/>
    <mergeCell ref="B18:F18"/>
    <mergeCell ref="B20:F20"/>
  </mergeCells>
  <hyperlinks>
    <hyperlink ref="B23" r:id="rId1"/>
  </hyperlinks>
  <printOptions horizontalCentered="1" gridLines="1"/>
  <pageMargins left="0" right="0" top="0.75" bottom="0.75" header="0.3" footer="0.3"/>
  <pageSetup scale="54" orientation="landscape" horizontalDpi="1200" verticalDpi="1200"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0"/>
  <sheetViews>
    <sheetView topLeftCell="C16" zoomScale="90" zoomScaleNormal="90" workbookViewId="0">
      <selection activeCell="S50" sqref="S50"/>
    </sheetView>
  </sheetViews>
  <sheetFormatPr defaultColWidth="9.140625" defaultRowHeight="15" x14ac:dyDescent="0.25"/>
  <cols>
    <col min="1" max="1" width="5.7109375" style="2" hidden="1" customWidth="1"/>
    <col min="2" max="2" width="58.42578125" style="2" customWidth="1"/>
    <col min="3" max="3" width="23.140625" style="2" customWidth="1"/>
    <col min="4" max="4" width="13.7109375" style="2" customWidth="1"/>
    <col min="5" max="5" width="17" style="2" bestFit="1" customWidth="1"/>
    <col min="6" max="6" width="21.7109375" style="2" customWidth="1"/>
    <col min="7" max="7" width="10.28515625" style="2" customWidth="1"/>
    <col min="8" max="8" width="12.85546875" style="2" customWidth="1"/>
    <col min="9" max="9" width="13.42578125" style="2" customWidth="1"/>
    <col min="10" max="10" width="15.7109375" style="2" customWidth="1"/>
    <col min="11" max="11" width="8.85546875" style="2" customWidth="1"/>
    <col min="12" max="12" width="18.7109375" style="2" customWidth="1"/>
    <col min="13" max="13" width="13.28515625" style="2" bestFit="1" customWidth="1"/>
    <col min="14" max="14" width="13.7109375" style="2" customWidth="1"/>
    <col min="15" max="15" width="14.42578125" style="2" customWidth="1"/>
    <col min="16" max="16" width="3.140625" style="2" customWidth="1"/>
    <col min="17" max="17" width="12" style="2" customWidth="1"/>
    <col min="18" max="18" width="14.140625" style="2" customWidth="1"/>
    <col min="19" max="19" width="16.7109375" style="2" customWidth="1"/>
    <col min="20" max="16384" width="9.140625" style="2"/>
  </cols>
  <sheetData>
    <row r="1" spans="1:20" ht="18" customHeight="1" x14ac:dyDescent="0.25">
      <c r="A1" s="2" t="s">
        <v>342</v>
      </c>
      <c r="B1" s="8" t="s">
        <v>193</v>
      </c>
      <c r="Q1" s="335" t="s">
        <v>230</v>
      </c>
      <c r="R1" s="335"/>
      <c r="S1" s="335"/>
    </row>
    <row r="2" spans="1:20" ht="18" customHeight="1" x14ac:dyDescent="0.25">
      <c r="B2" s="90" t="s">
        <v>148</v>
      </c>
      <c r="C2" s="187">
        <v>44377</v>
      </c>
      <c r="M2" s="73"/>
      <c r="N2" s="73"/>
      <c r="P2" s="29"/>
      <c r="Q2" s="334" t="s">
        <v>338</v>
      </c>
      <c r="R2" s="334"/>
      <c r="S2" s="334"/>
    </row>
    <row r="3" spans="1:20" ht="18" customHeight="1" thickBot="1" x14ac:dyDescent="0.3">
      <c r="A3" s="2" t="s">
        <v>16</v>
      </c>
      <c r="B3" s="44" t="s">
        <v>192</v>
      </c>
      <c r="C3" s="8"/>
      <c r="D3" s="8"/>
      <c r="E3" s="8"/>
      <c r="P3" s="29"/>
      <c r="Q3" s="45"/>
      <c r="R3" s="30"/>
    </row>
    <row r="4" spans="1:20" ht="18.75" customHeight="1" x14ac:dyDescent="0.25">
      <c r="B4" s="8" t="s">
        <v>195</v>
      </c>
      <c r="M4" s="87" t="s">
        <v>28</v>
      </c>
      <c r="N4" s="87" t="s">
        <v>28</v>
      </c>
      <c r="O4" s="87" t="s">
        <v>28</v>
      </c>
      <c r="P4" s="153"/>
      <c r="Q4" s="91" t="s">
        <v>29</v>
      </c>
      <c r="R4" s="91" t="s">
        <v>31</v>
      </c>
      <c r="S4" s="91" t="s">
        <v>23</v>
      </c>
      <c r="T4" s="7"/>
    </row>
    <row r="5" spans="1:20" ht="15.75" thickBot="1" x14ac:dyDescent="0.3">
      <c r="G5" s="188" t="s">
        <v>231</v>
      </c>
      <c r="H5" s="188" t="s">
        <v>231</v>
      </c>
      <c r="M5" s="88" t="s">
        <v>27</v>
      </c>
      <c r="N5" s="88" t="s">
        <v>26</v>
      </c>
      <c r="O5" s="88" t="s">
        <v>25</v>
      </c>
      <c r="P5" s="153"/>
      <c r="Q5" s="92" t="s">
        <v>30</v>
      </c>
      <c r="R5" s="92" t="s">
        <v>30</v>
      </c>
      <c r="S5" s="92" t="s">
        <v>30</v>
      </c>
      <c r="T5" s="7"/>
    </row>
    <row r="6" spans="1:20" ht="85.5" customHeight="1" thickBot="1" x14ac:dyDescent="0.3">
      <c r="B6" s="86" t="s">
        <v>1</v>
      </c>
      <c r="C6" s="86" t="s">
        <v>127</v>
      </c>
      <c r="D6" s="86" t="s">
        <v>107</v>
      </c>
      <c r="E6" s="86" t="s">
        <v>3</v>
      </c>
      <c r="F6" s="86" t="s">
        <v>4</v>
      </c>
      <c r="G6" s="110" t="s">
        <v>136</v>
      </c>
      <c r="H6" s="110" t="s">
        <v>137</v>
      </c>
      <c r="I6" s="110" t="s">
        <v>133</v>
      </c>
      <c r="J6" s="110" t="s">
        <v>134</v>
      </c>
      <c r="K6" s="110" t="s">
        <v>121</v>
      </c>
      <c r="L6" s="85" t="s">
        <v>5</v>
      </c>
      <c r="M6" s="89" t="s">
        <v>6</v>
      </c>
      <c r="N6" s="89" t="s">
        <v>6</v>
      </c>
      <c r="O6" s="89" t="s">
        <v>6</v>
      </c>
      <c r="P6" s="153"/>
      <c r="Q6" s="93"/>
      <c r="R6" s="99" t="s">
        <v>32</v>
      </c>
      <c r="S6" s="100" t="s">
        <v>33</v>
      </c>
    </row>
    <row r="7" spans="1:20" hidden="1" x14ac:dyDescent="0.25">
      <c r="B7" s="238"/>
      <c r="C7" s="113"/>
      <c r="D7" s="94" t="s">
        <v>218</v>
      </c>
      <c r="E7" s="2" t="s">
        <v>232</v>
      </c>
      <c r="F7" s="2" t="s">
        <v>7</v>
      </c>
      <c r="G7" s="191">
        <v>2.9600000000000001E-2</v>
      </c>
      <c r="H7" s="191">
        <v>0.1744</v>
      </c>
      <c r="I7" s="192">
        <v>44377</v>
      </c>
      <c r="J7" s="192">
        <v>44378</v>
      </c>
      <c r="K7" s="192">
        <v>44013</v>
      </c>
      <c r="L7" s="193" t="s">
        <v>234</v>
      </c>
      <c r="M7" s="80"/>
      <c r="N7" s="69"/>
      <c r="O7" s="69"/>
      <c r="P7" s="69"/>
      <c r="Q7" s="69"/>
      <c r="R7" s="69"/>
      <c r="S7" s="70"/>
    </row>
    <row r="8" spans="1:20" ht="21.75" customHeight="1" x14ac:dyDescent="0.25">
      <c r="B8" s="343" t="s">
        <v>194</v>
      </c>
      <c r="C8" s="262" t="s">
        <v>190</v>
      </c>
      <c r="D8" s="36" t="s">
        <v>164</v>
      </c>
      <c r="E8" s="36" t="s">
        <v>225</v>
      </c>
      <c r="F8" s="36" t="s">
        <v>7</v>
      </c>
      <c r="G8" s="263">
        <v>2.9600000000000001E-2</v>
      </c>
      <c r="H8" s="263">
        <v>0.1744</v>
      </c>
      <c r="I8" s="264">
        <v>44444</v>
      </c>
      <c r="J8" s="264">
        <v>44459</v>
      </c>
      <c r="K8" s="264">
        <v>42644</v>
      </c>
      <c r="L8" s="193" t="s">
        <v>336</v>
      </c>
      <c r="M8" s="258">
        <v>484272.32</v>
      </c>
      <c r="N8" s="69">
        <v>295563</v>
      </c>
      <c r="O8" s="68">
        <f>M8+N8</f>
        <v>779835.32000000007</v>
      </c>
      <c r="P8" s="69"/>
      <c r="Q8" s="69">
        <v>299287.55</v>
      </c>
      <c r="R8" s="69"/>
      <c r="S8" s="70">
        <f>Q8+R8</f>
        <v>299287.55</v>
      </c>
    </row>
    <row r="9" spans="1:20" x14ac:dyDescent="0.25">
      <c r="B9" s="343"/>
      <c r="C9" s="262"/>
      <c r="D9" s="36"/>
      <c r="E9" s="36"/>
      <c r="F9" s="36"/>
      <c r="G9" s="263"/>
      <c r="H9" s="263"/>
      <c r="I9" s="264"/>
      <c r="J9" s="264"/>
      <c r="K9" s="264"/>
      <c r="L9" s="36"/>
      <c r="N9" s="29"/>
      <c r="P9" s="29"/>
      <c r="Q9" s="29"/>
      <c r="R9" s="29"/>
      <c r="S9" s="259"/>
    </row>
    <row r="10" spans="1:20" ht="30" customHeight="1" x14ac:dyDescent="0.25">
      <c r="B10" s="2" t="s">
        <v>241</v>
      </c>
      <c r="C10" s="243" t="s">
        <v>242</v>
      </c>
      <c r="D10" s="95" t="s">
        <v>243</v>
      </c>
      <c r="E10" s="2" t="s">
        <v>244</v>
      </c>
      <c r="F10" s="2" t="s">
        <v>7</v>
      </c>
      <c r="G10" s="285">
        <v>2.9600000000000001E-2</v>
      </c>
      <c r="H10" s="285">
        <v>0.1744</v>
      </c>
      <c r="I10" s="119">
        <v>44834</v>
      </c>
      <c r="J10" s="119">
        <v>44849</v>
      </c>
      <c r="K10" s="119">
        <v>43614</v>
      </c>
      <c r="L10" s="193" t="s">
        <v>311</v>
      </c>
      <c r="M10" s="292">
        <v>35788.58</v>
      </c>
      <c r="N10" s="29"/>
      <c r="O10" s="68">
        <f>M10+N10</f>
        <v>35788.58</v>
      </c>
      <c r="P10" s="29"/>
      <c r="Q10" s="29"/>
      <c r="R10" s="29"/>
      <c r="S10" s="70">
        <f>Q10+R10</f>
        <v>0</v>
      </c>
    </row>
    <row r="11" spans="1:20" ht="30" customHeight="1" x14ac:dyDescent="0.25">
      <c r="B11" s="2" t="s">
        <v>283</v>
      </c>
      <c r="C11" s="243" t="s">
        <v>264</v>
      </c>
      <c r="D11" s="95" t="s">
        <v>254</v>
      </c>
      <c r="E11" s="2" t="s">
        <v>284</v>
      </c>
      <c r="F11" s="2" t="s">
        <v>7</v>
      </c>
      <c r="G11" s="191">
        <f t="shared" ref="G11:H11" si="0">+G10</f>
        <v>2.9600000000000001E-2</v>
      </c>
      <c r="H11" s="191">
        <f t="shared" si="0"/>
        <v>0.1744</v>
      </c>
      <c r="I11" s="192">
        <v>44377</v>
      </c>
      <c r="J11" s="192">
        <v>44392</v>
      </c>
      <c r="K11" s="192">
        <v>43613</v>
      </c>
      <c r="L11" s="193" t="s">
        <v>234</v>
      </c>
      <c r="M11" s="81">
        <v>7302.48</v>
      </c>
      <c r="N11" s="69"/>
      <c r="O11" s="68">
        <f>M11+N11</f>
        <v>7302.48</v>
      </c>
      <c r="P11" s="69"/>
      <c r="Q11" s="69">
        <v>7302.48</v>
      </c>
      <c r="R11" s="69"/>
      <c r="S11" s="70">
        <f>Q11+R11</f>
        <v>7302.48</v>
      </c>
    </row>
    <row r="12" spans="1:20" ht="30" customHeight="1" x14ac:dyDescent="0.25">
      <c r="B12" s="2" t="s">
        <v>314</v>
      </c>
      <c r="C12" s="243" t="s">
        <v>242</v>
      </c>
      <c r="D12" s="95" t="s">
        <v>243</v>
      </c>
      <c r="E12" s="2" t="s">
        <v>315</v>
      </c>
      <c r="F12" s="2" t="s">
        <v>7</v>
      </c>
      <c r="G12" s="313">
        <f>+G10</f>
        <v>2.9600000000000001E-2</v>
      </c>
      <c r="H12" s="313">
        <f>+H10</f>
        <v>0.1744</v>
      </c>
      <c r="I12" s="312">
        <v>44773</v>
      </c>
      <c r="J12" s="312">
        <v>44788</v>
      </c>
      <c r="K12" s="192">
        <v>43980</v>
      </c>
      <c r="L12" s="193" t="s">
        <v>316</v>
      </c>
      <c r="M12" s="81">
        <v>2281.38</v>
      </c>
      <c r="N12" s="72"/>
      <c r="O12" s="68">
        <f>M12+N12</f>
        <v>2281.38</v>
      </c>
      <c r="P12" s="69"/>
      <c r="Q12" s="69"/>
      <c r="R12" s="69"/>
      <c r="S12" s="70">
        <f>Q12+R12</f>
        <v>0</v>
      </c>
    </row>
    <row r="13" spans="1:20" ht="30" customHeight="1" x14ac:dyDescent="0.25">
      <c r="B13" s="2" t="s">
        <v>318</v>
      </c>
      <c r="C13" s="243" t="s">
        <v>242</v>
      </c>
      <c r="D13" s="95" t="s">
        <v>243</v>
      </c>
      <c r="E13" s="2" t="s">
        <v>319</v>
      </c>
      <c r="F13" s="2" t="s">
        <v>7</v>
      </c>
      <c r="G13" s="191">
        <v>2.9600000000000001E-2</v>
      </c>
      <c r="H13" s="191">
        <v>0.1744</v>
      </c>
      <c r="I13" s="192">
        <v>44561</v>
      </c>
      <c r="J13" s="192">
        <v>44576</v>
      </c>
      <c r="K13" s="192">
        <v>43980</v>
      </c>
      <c r="L13" s="193" t="s">
        <v>320</v>
      </c>
      <c r="M13" s="81">
        <v>3000</v>
      </c>
      <c r="N13" s="69"/>
      <c r="O13" s="68">
        <f>M13+N13</f>
        <v>3000</v>
      </c>
      <c r="P13" s="68"/>
      <c r="Q13" s="69"/>
      <c r="R13" s="69"/>
      <c r="S13" s="70">
        <f>Q13+R13</f>
        <v>0</v>
      </c>
    </row>
    <row r="14" spans="1:20" ht="30" customHeight="1" x14ac:dyDescent="0.25">
      <c r="B14" s="2" t="s">
        <v>321</v>
      </c>
      <c r="C14" s="243" t="s">
        <v>264</v>
      </c>
      <c r="D14" s="95" t="s">
        <v>254</v>
      </c>
      <c r="E14" s="2" t="s">
        <v>322</v>
      </c>
      <c r="F14" s="2" t="s">
        <v>7</v>
      </c>
      <c r="G14" s="191">
        <v>2.9600000000000001E-2</v>
      </c>
      <c r="H14" s="191">
        <v>0.1744</v>
      </c>
      <c r="I14" s="192">
        <v>44742</v>
      </c>
      <c r="J14" s="192">
        <v>44757</v>
      </c>
      <c r="K14" s="192">
        <v>43979</v>
      </c>
      <c r="L14" s="193" t="s">
        <v>323</v>
      </c>
      <c r="M14" s="81">
        <v>1027</v>
      </c>
      <c r="N14" s="69"/>
      <c r="O14" s="68">
        <f>M14+N14</f>
        <v>1027</v>
      </c>
      <c r="P14" s="68"/>
      <c r="Q14" s="69"/>
      <c r="R14" s="69"/>
      <c r="S14" s="70">
        <f>Q14+R14</f>
        <v>0</v>
      </c>
    </row>
    <row r="15" spans="1:20" ht="30" customHeight="1" x14ac:dyDescent="0.25">
      <c r="B15" s="2" t="s">
        <v>327</v>
      </c>
      <c r="C15" s="243" t="s">
        <v>242</v>
      </c>
      <c r="D15" s="95" t="s">
        <v>328</v>
      </c>
      <c r="E15" s="2" t="s">
        <v>329</v>
      </c>
      <c r="F15" s="2" t="s">
        <v>7</v>
      </c>
      <c r="G15" s="191">
        <v>2.9600000000000001E-2</v>
      </c>
      <c r="H15" s="191">
        <v>0.1744</v>
      </c>
      <c r="I15" s="192">
        <v>44440</v>
      </c>
      <c r="J15" s="192">
        <v>44440</v>
      </c>
      <c r="K15" s="192">
        <v>44201</v>
      </c>
      <c r="L15" s="193" t="s">
        <v>330</v>
      </c>
      <c r="M15" s="81">
        <v>92863.35</v>
      </c>
      <c r="N15" s="69"/>
      <c r="O15" s="69">
        <f t="shared" ref="O15" si="1">M15+N15</f>
        <v>92863.35</v>
      </c>
      <c r="P15" s="68"/>
      <c r="Q15" s="69"/>
      <c r="R15" s="69"/>
      <c r="S15" s="70">
        <f t="shared" ref="S15" si="2">Q15+R15</f>
        <v>0</v>
      </c>
    </row>
    <row r="16" spans="1:20" x14ac:dyDescent="0.25">
      <c r="B16" s="255"/>
      <c r="C16" s="243"/>
      <c r="D16" s="95"/>
      <c r="E16" s="95"/>
      <c r="F16" s="95"/>
      <c r="G16" s="209"/>
      <c r="H16" s="209"/>
      <c r="I16" s="256"/>
      <c r="J16" s="256"/>
      <c r="K16" s="256"/>
      <c r="L16" s="95"/>
      <c r="M16" s="260"/>
      <c r="N16" s="10"/>
      <c r="O16" s="261"/>
      <c r="P16" s="29"/>
      <c r="Q16" s="10"/>
      <c r="R16" s="10"/>
      <c r="S16" s="28"/>
    </row>
    <row r="17" spans="2:19" ht="23.25" customHeight="1" x14ac:dyDescent="0.25">
      <c r="C17" s="95"/>
      <c r="D17" s="95"/>
      <c r="G17" s="126"/>
      <c r="H17" s="126"/>
      <c r="I17" s="119"/>
      <c r="J17" s="119"/>
      <c r="K17" s="119"/>
      <c r="L17" s="21" t="s">
        <v>38</v>
      </c>
      <c r="M17" s="68">
        <f>SUM(M8:M16)</f>
        <v>626535.11</v>
      </c>
      <c r="N17" s="68">
        <f>SUM(N8:N16)</f>
        <v>295563</v>
      </c>
      <c r="O17" s="68">
        <f>SUM(O8:O16)</f>
        <v>922098.11</v>
      </c>
      <c r="P17" s="68"/>
      <c r="Q17" s="68">
        <f>SUM(Q8:Q16)</f>
        <v>306590.02999999997</v>
      </c>
      <c r="R17" s="68">
        <f>SUM(R8:R16)</f>
        <v>0</v>
      </c>
      <c r="S17" s="70">
        <f>SUM(S8:S16)</f>
        <v>306590.02999999997</v>
      </c>
    </row>
    <row r="18" spans="2:19" x14ac:dyDescent="0.25">
      <c r="C18" s="95"/>
      <c r="D18" s="95"/>
      <c r="G18" s="126"/>
      <c r="H18" s="126"/>
      <c r="I18" s="119"/>
      <c r="J18" s="119"/>
      <c r="K18" s="119"/>
      <c r="L18" s="21"/>
      <c r="M18" s="68"/>
      <c r="N18" s="68"/>
      <c r="O18" s="68"/>
      <c r="P18" s="68"/>
      <c r="Q18" s="68"/>
      <c r="R18" s="68"/>
      <c r="S18" s="70"/>
    </row>
    <row r="19" spans="2:19" x14ac:dyDescent="0.25">
      <c r="C19" s="95"/>
      <c r="D19" s="95"/>
      <c r="G19" s="126"/>
      <c r="H19" s="126"/>
      <c r="I19" s="119"/>
      <c r="J19" s="119"/>
      <c r="K19" s="119"/>
      <c r="L19" s="21"/>
      <c r="M19" s="68"/>
      <c r="N19" s="68"/>
      <c r="O19" s="68"/>
      <c r="P19" s="68"/>
      <c r="Q19" s="68"/>
      <c r="R19" s="68"/>
      <c r="S19" s="70"/>
    </row>
    <row r="20" spans="2:19" x14ac:dyDescent="0.25">
      <c r="B20" s="8" t="s">
        <v>125</v>
      </c>
      <c r="C20" s="94"/>
      <c r="D20" s="94"/>
      <c r="S20" s="27"/>
    </row>
    <row r="21" spans="2:19" ht="33.75" customHeight="1" x14ac:dyDescent="0.25">
      <c r="B21" s="338" t="s">
        <v>126</v>
      </c>
      <c r="C21" s="338"/>
      <c r="D21" s="338"/>
      <c r="E21" s="338"/>
      <c r="F21" s="338"/>
      <c r="S21" s="27"/>
    </row>
    <row r="22" spans="2:19" x14ac:dyDescent="0.25">
      <c r="C22" s="94"/>
      <c r="D22" s="94"/>
      <c r="S22" s="27"/>
    </row>
    <row r="23" spans="2:19" ht="50.25" customHeight="1" x14ac:dyDescent="0.25">
      <c r="B23" s="338" t="s">
        <v>129</v>
      </c>
      <c r="C23" s="338"/>
      <c r="D23" s="338"/>
      <c r="E23" s="338"/>
      <c r="F23" s="338"/>
      <c r="S23" s="27"/>
    </row>
    <row r="24" spans="2:19" x14ac:dyDescent="0.25">
      <c r="B24" s="237"/>
      <c r="C24" s="237"/>
      <c r="D24" s="237"/>
      <c r="E24" s="237"/>
      <c r="S24" s="27"/>
    </row>
    <row r="25" spans="2:19" ht="32.25" customHeight="1" x14ac:dyDescent="0.25">
      <c r="B25" s="338" t="s">
        <v>160</v>
      </c>
      <c r="C25" s="338"/>
      <c r="D25" s="338"/>
      <c r="E25" s="338"/>
      <c r="F25" s="338"/>
      <c r="S25" s="27"/>
    </row>
    <row r="26" spans="2:19" ht="15" customHeight="1" x14ac:dyDescent="0.25">
      <c r="B26" s="346" t="s">
        <v>159</v>
      </c>
      <c r="C26" s="338"/>
      <c r="D26" s="338"/>
      <c r="E26" s="338"/>
      <c r="F26" s="338"/>
      <c r="S26" s="27"/>
    </row>
    <row r="27" spans="2:19" ht="15" customHeight="1" x14ac:dyDescent="0.25">
      <c r="B27" s="237"/>
      <c r="C27" s="237"/>
      <c r="D27" s="237"/>
      <c r="E27" s="237"/>
      <c r="S27" s="27"/>
    </row>
    <row r="28" spans="2:19" x14ac:dyDescent="0.25">
      <c r="B28" s="7" t="s">
        <v>109</v>
      </c>
      <c r="C28" s="104" t="s">
        <v>112</v>
      </c>
      <c r="D28" s="104" t="s">
        <v>113</v>
      </c>
      <c r="E28" s="237"/>
      <c r="S28" s="27"/>
    </row>
    <row r="29" spans="2:19" x14ac:dyDescent="0.25">
      <c r="B29" s="268" t="s">
        <v>175</v>
      </c>
      <c r="C29" s="94" t="s">
        <v>135</v>
      </c>
      <c r="D29" s="94" t="s">
        <v>147</v>
      </c>
      <c r="E29" s="237"/>
      <c r="S29" s="27"/>
    </row>
    <row r="30" spans="2:19" x14ac:dyDescent="0.25">
      <c r="B30" s="2" t="s">
        <v>252</v>
      </c>
      <c r="C30" s="94" t="s">
        <v>135</v>
      </c>
      <c r="D30" s="94" t="s">
        <v>147</v>
      </c>
      <c r="S30" s="27"/>
    </row>
    <row r="31" spans="2:19" x14ac:dyDescent="0.25">
      <c r="B31" s="2" t="s">
        <v>260</v>
      </c>
      <c r="C31" s="94" t="s">
        <v>135</v>
      </c>
      <c r="D31" s="94" t="s">
        <v>147</v>
      </c>
      <c r="S31" s="27"/>
    </row>
    <row r="32" spans="2:19" x14ac:dyDescent="0.25">
      <c r="B32" s="2" t="s">
        <v>314</v>
      </c>
      <c r="C32" s="94" t="s">
        <v>135</v>
      </c>
      <c r="D32" s="94" t="s">
        <v>147</v>
      </c>
      <c r="S32" s="27"/>
    </row>
    <row r="33" spans="1:20" x14ac:dyDescent="0.25">
      <c r="B33" s="2" t="s">
        <v>318</v>
      </c>
      <c r="C33" s="94" t="s">
        <v>135</v>
      </c>
      <c r="D33" s="94" t="s">
        <v>147</v>
      </c>
      <c r="S33" s="27"/>
    </row>
    <row r="34" spans="1:20" x14ac:dyDescent="0.25">
      <c r="B34" s="2" t="s">
        <v>321</v>
      </c>
      <c r="C34" s="94" t="s">
        <v>135</v>
      </c>
      <c r="D34" s="94" t="s">
        <v>147</v>
      </c>
      <c r="S34" s="27"/>
    </row>
    <row r="35" spans="1:20" x14ac:dyDescent="0.25">
      <c r="B35" s="2" t="s">
        <v>326</v>
      </c>
      <c r="C35" s="94" t="s">
        <v>135</v>
      </c>
      <c r="D35" s="94" t="s">
        <v>147</v>
      </c>
      <c r="S35" s="27"/>
    </row>
    <row r="36" spans="1:20" x14ac:dyDescent="0.25">
      <c r="C36" s="94"/>
      <c r="D36" s="94"/>
      <c r="S36" s="27"/>
    </row>
    <row r="37" spans="1:20" x14ac:dyDescent="0.25">
      <c r="A37" s="270" t="s">
        <v>235</v>
      </c>
      <c r="B37" s="270" t="s">
        <v>235</v>
      </c>
      <c r="C37" s="94"/>
      <c r="D37" s="94"/>
      <c r="S37" s="27"/>
    </row>
    <row r="38" spans="1:20" x14ac:dyDescent="0.25">
      <c r="A38" s="266" t="s">
        <v>236</v>
      </c>
      <c r="B38" s="266" t="s">
        <v>236</v>
      </c>
      <c r="C38" s="94"/>
      <c r="D38" s="94"/>
      <c r="S38" s="27"/>
    </row>
    <row r="39" spans="1:20" x14ac:dyDescent="0.25">
      <c r="B39" s="225"/>
      <c r="C39" s="96"/>
      <c r="D39" s="96"/>
      <c r="E39" s="10"/>
      <c r="F39" s="10"/>
      <c r="G39" s="10"/>
      <c r="H39" s="10"/>
      <c r="I39" s="10"/>
      <c r="J39" s="10"/>
      <c r="K39" s="10"/>
      <c r="L39" s="10"/>
      <c r="M39" s="10"/>
      <c r="N39" s="10"/>
      <c r="O39" s="10"/>
      <c r="P39" s="10"/>
      <c r="Q39" s="10"/>
      <c r="R39" s="10"/>
      <c r="S39" s="28"/>
    </row>
    <row r="40" spans="1:20" x14ac:dyDescent="0.25">
      <c r="B40" s="197"/>
      <c r="C40" s="95"/>
      <c r="D40" s="95"/>
      <c r="Q40" s="59" t="s">
        <v>90</v>
      </c>
      <c r="R40" s="50"/>
      <c r="S40" s="170"/>
    </row>
    <row r="41" spans="1:20" x14ac:dyDescent="0.25">
      <c r="B41" s="17" t="s">
        <v>39</v>
      </c>
      <c r="C41" s="239" t="s">
        <v>2</v>
      </c>
      <c r="D41" s="239"/>
      <c r="E41" s="239" t="s">
        <v>34</v>
      </c>
      <c r="F41" s="239" t="s">
        <v>35</v>
      </c>
      <c r="G41" s="239"/>
      <c r="H41" s="239"/>
      <c r="I41" s="239"/>
      <c r="J41" s="239"/>
      <c r="K41" s="239"/>
      <c r="L41" s="239" t="s">
        <v>36</v>
      </c>
      <c r="M41" s="239" t="s">
        <v>37</v>
      </c>
      <c r="N41" s="47"/>
      <c r="O41" s="47"/>
      <c r="P41" s="47"/>
      <c r="Q41" s="54" t="s">
        <v>88</v>
      </c>
      <c r="R41" s="52"/>
      <c r="S41" s="53"/>
      <c r="T41" s="51"/>
    </row>
    <row r="42" spans="1:20" ht="15" customHeight="1" x14ac:dyDescent="0.25">
      <c r="B42" s="65"/>
      <c r="C42" s="153"/>
      <c r="D42" s="153"/>
      <c r="E42" s="153"/>
      <c r="F42" s="153"/>
      <c r="G42" s="153"/>
      <c r="H42" s="153"/>
      <c r="I42" s="153"/>
      <c r="J42" s="153"/>
      <c r="K42" s="153"/>
      <c r="L42" s="153"/>
      <c r="M42" s="153"/>
      <c r="N42" s="45"/>
      <c r="O42" s="45"/>
      <c r="P42" s="45"/>
      <c r="T42" s="51"/>
    </row>
    <row r="43" spans="1:20" ht="15" customHeight="1" x14ac:dyDescent="0.25">
      <c r="B43" s="65"/>
      <c r="C43" s="153"/>
      <c r="D43" s="153"/>
      <c r="E43" s="153"/>
      <c r="F43" s="153"/>
      <c r="G43" s="153"/>
      <c r="H43" s="153"/>
      <c r="I43" s="153"/>
      <c r="J43" s="153"/>
      <c r="K43" s="153"/>
      <c r="L43" s="153"/>
      <c r="M43" s="153"/>
      <c r="N43" s="45"/>
      <c r="O43" s="45"/>
      <c r="P43" s="45"/>
      <c r="Q43" s="59"/>
      <c r="R43" s="50"/>
      <c r="S43" s="50"/>
      <c r="T43" s="51"/>
    </row>
    <row r="44" spans="1:20" ht="15" customHeight="1" x14ac:dyDescent="0.25">
      <c r="B44" s="11"/>
      <c r="C44" s="153"/>
      <c r="D44" s="153"/>
      <c r="E44" s="153"/>
      <c r="R44" s="51"/>
      <c r="S44" s="51"/>
      <c r="T44" s="51"/>
    </row>
    <row r="45" spans="1:20" x14ac:dyDescent="0.25">
      <c r="B45" s="12"/>
      <c r="C45" s="13"/>
      <c r="D45" s="13"/>
      <c r="E45" s="41"/>
      <c r="F45" s="15"/>
      <c r="G45" s="15"/>
      <c r="H45" s="15"/>
      <c r="I45" s="15"/>
      <c r="J45" s="15"/>
      <c r="K45" s="15"/>
      <c r="L45" s="16"/>
      <c r="M45" s="20"/>
      <c r="N45" s="18"/>
      <c r="O45" s="18"/>
      <c r="P45" s="18"/>
    </row>
    <row r="46" spans="1:20" x14ac:dyDescent="0.25">
      <c r="B46" s="12"/>
      <c r="C46" s="13"/>
      <c r="D46" s="13"/>
      <c r="E46" s="41"/>
      <c r="F46" s="15"/>
      <c r="G46" s="15"/>
      <c r="H46" s="15"/>
      <c r="I46" s="15"/>
      <c r="J46" s="15"/>
      <c r="K46" s="15"/>
      <c r="L46" s="16"/>
      <c r="M46" s="20"/>
      <c r="N46" s="18"/>
      <c r="O46" s="18"/>
      <c r="P46" s="18"/>
    </row>
    <row r="47" spans="1:20" x14ac:dyDescent="0.25">
      <c r="B47" s="12"/>
      <c r="C47" s="13"/>
      <c r="D47" s="13"/>
      <c r="E47" s="41"/>
      <c r="F47" s="15"/>
      <c r="G47" s="15"/>
      <c r="H47" s="15"/>
      <c r="I47" s="15"/>
      <c r="J47" s="15"/>
      <c r="K47" s="15"/>
      <c r="L47" s="16"/>
      <c r="M47" s="20"/>
      <c r="N47" s="18"/>
      <c r="O47" s="18"/>
      <c r="P47" s="18"/>
    </row>
    <row r="48" spans="1:20" x14ac:dyDescent="0.25">
      <c r="B48" s="12"/>
      <c r="C48" s="13"/>
      <c r="D48" s="13"/>
      <c r="E48" s="41"/>
      <c r="F48" s="15"/>
      <c r="G48" s="15"/>
      <c r="H48" s="15"/>
      <c r="I48" s="15"/>
      <c r="J48" s="15"/>
      <c r="K48" s="15"/>
      <c r="L48" s="16"/>
      <c r="M48" s="20"/>
      <c r="N48" s="18"/>
      <c r="O48" s="18"/>
      <c r="P48" s="18"/>
    </row>
    <row r="50" spans="17:19" x14ac:dyDescent="0.25">
      <c r="Q50" s="325" t="s">
        <v>343</v>
      </c>
      <c r="R50" s="325"/>
      <c r="S50" s="327">
        <f>S17</f>
        <v>306590.02999999997</v>
      </c>
    </row>
  </sheetData>
  <mergeCells count="7">
    <mergeCell ref="B25:F25"/>
    <mergeCell ref="B26:F26"/>
    <mergeCell ref="Q1:S1"/>
    <mergeCell ref="Q2:S2"/>
    <mergeCell ref="B21:F21"/>
    <mergeCell ref="B23:F23"/>
    <mergeCell ref="B8:B9"/>
  </mergeCells>
  <hyperlinks>
    <hyperlink ref="B26" r:id="rId1"/>
  </hyperlinks>
  <printOptions horizontalCentered="1" gridLines="1"/>
  <pageMargins left="0" right="0" top="0.75" bottom="0.75" header="0.3" footer="0.3"/>
  <pageSetup scale="49" orientation="landscape" horizontalDpi="1200" verticalDpi="120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T41"/>
  <sheetViews>
    <sheetView topLeftCell="B1" zoomScale="90" zoomScaleNormal="90" workbookViewId="0">
      <selection activeCell="B26" sqref="B26"/>
    </sheetView>
  </sheetViews>
  <sheetFormatPr defaultColWidth="9.140625" defaultRowHeight="15" x14ac:dyDescent="0.25"/>
  <cols>
    <col min="1" max="1" width="9.140625" style="2" hidden="1" customWidth="1"/>
    <col min="2" max="2" width="53.28515625" style="2" customWidth="1"/>
    <col min="3" max="3" width="30.85546875" style="2" customWidth="1"/>
    <col min="4" max="4" width="13.7109375" style="2" customWidth="1"/>
    <col min="5" max="5" width="16.85546875" style="2" customWidth="1"/>
    <col min="6" max="6" width="21.5703125" style="2" customWidth="1"/>
    <col min="7" max="7" width="8.5703125" style="2" customWidth="1"/>
    <col min="8" max="8" width="11.5703125" style="2" customWidth="1"/>
    <col min="9" max="9" width="10.85546875" style="2" customWidth="1"/>
    <col min="10" max="10" width="10" style="2" customWidth="1"/>
    <col min="11" max="11" width="8" style="2" customWidth="1"/>
    <col min="12" max="12" width="18.710937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4.5703125" style="2" customWidth="1"/>
    <col min="20" max="16384" width="9.140625" style="2"/>
  </cols>
  <sheetData>
    <row r="1" spans="1:20" ht="15.6" customHeight="1" x14ac:dyDescent="0.25">
      <c r="B1" s="1" t="s">
        <v>45</v>
      </c>
      <c r="Q1" s="335" t="s">
        <v>154</v>
      </c>
      <c r="R1" s="335"/>
      <c r="S1" s="335"/>
    </row>
    <row r="2" spans="1:20" x14ac:dyDescent="0.25">
      <c r="B2" s="90" t="s">
        <v>148</v>
      </c>
      <c r="C2" s="187">
        <v>43465</v>
      </c>
      <c r="M2" s="73"/>
      <c r="N2" s="73"/>
      <c r="P2" s="29"/>
      <c r="Q2" s="334" t="s">
        <v>165</v>
      </c>
      <c r="R2" s="334"/>
      <c r="S2" s="334"/>
    </row>
    <row r="3" spans="1:20" ht="15.75" thickBot="1" x14ac:dyDescent="0.3">
      <c r="A3" s="2" t="s">
        <v>16</v>
      </c>
      <c r="B3" s="44" t="s">
        <v>74</v>
      </c>
      <c r="C3" s="8"/>
      <c r="D3" s="8"/>
      <c r="E3" s="8"/>
      <c r="P3" s="29"/>
      <c r="Q3" s="45"/>
      <c r="R3" s="30"/>
    </row>
    <row r="4" spans="1:20" x14ac:dyDescent="0.25">
      <c r="B4" s="8" t="s">
        <v>176</v>
      </c>
      <c r="M4" s="87" t="s">
        <v>28</v>
      </c>
      <c r="N4" s="87" t="s">
        <v>28</v>
      </c>
      <c r="O4" s="87" t="s">
        <v>28</v>
      </c>
      <c r="P4" s="9"/>
      <c r="Q4" s="91" t="s">
        <v>29</v>
      </c>
      <c r="R4" s="91" t="s">
        <v>31</v>
      </c>
      <c r="S4" s="91" t="s">
        <v>23</v>
      </c>
      <c r="T4" s="7"/>
    </row>
    <row r="5" spans="1:20" ht="15.75" thickBot="1" x14ac:dyDescent="0.3">
      <c r="G5" s="188" t="s">
        <v>158</v>
      </c>
      <c r="H5" s="188" t="s">
        <v>158</v>
      </c>
      <c r="M5" s="88" t="s">
        <v>27</v>
      </c>
      <c r="N5" s="88" t="s">
        <v>26</v>
      </c>
      <c r="O5" s="88" t="s">
        <v>25</v>
      </c>
      <c r="P5" s="9"/>
      <c r="Q5" s="92" t="s">
        <v>30</v>
      </c>
      <c r="R5" s="92" t="s">
        <v>30</v>
      </c>
      <c r="S5" s="92" t="s">
        <v>30</v>
      </c>
      <c r="T5" s="7"/>
    </row>
    <row r="6" spans="1:20" ht="85.5" customHeight="1" thickBot="1" x14ac:dyDescent="0.3">
      <c r="B6" s="86" t="s">
        <v>1</v>
      </c>
      <c r="C6" s="86" t="s">
        <v>127</v>
      </c>
      <c r="D6" s="86" t="s">
        <v>107</v>
      </c>
      <c r="E6" s="86" t="s">
        <v>3</v>
      </c>
      <c r="F6" s="86" t="s">
        <v>4</v>
      </c>
      <c r="G6" s="110" t="s">
        <v>136</v>
      </c>
      <c r="H6" s="110" t="s">
        <v>137</v>
      </c>
      <c r="I6" s="110" t="s">
        <v>133</v>
      </c>
      <c r="J6" s="110" t="s">
        <v>134</v>
      </c>
      <c r="K6" s="110" t="s">
        <v>121</v>
      </c>
      <c r="L6" s="85" t="s">
        <v>5</v>
      </c>
      <c r="M6" s="89" t="s">
        <v>6</v>
      </c>
      <c r="N6" s="89" t="s">
        <v>6</v>
      </c>
      <c r="O6" s="89" t="s">
        <v>6</v>
      </c>
      <c r="P6" s="9"/>
      <c r="Q6" s="93"/>
      <c r="R6" s="99" t="s">
        <v>32</v>
      </c>
      <c r="S6" s="100" t="s">
        <v>33</v>
      </c>
    </row>
    <row r="7" spans="1:20" hidden="1" x14ac:dyDescent="0.25">
      <c r="B7" s="2" t="s">
        <v>8</v>
      </c>
      <c r="C7" s="94" t="s">
        <v>106</v>
      </c>
      <c r="D7" s="94" t="s">
        <v>108</v>
      </c>
      <c r="E7" s="2" t="s">
        <v>155</v>
      </c>
      <c r="F7" s="2" t="s">
        <v>7</v>
      </c>
      <c r="G7" s="191">
        <v>2.7699999999999999E-2</v>
      </c>
      <c r="H7" s="191">
        <v>0.15060000000000001</v>
      </c>
      <c r="I7" s="192">
        <v>43646</v>
      </c>
      <c r="J7" s="192">
        <v>43647</v>
      </c>
      <c r="K7" s="192">
        <v>43282</v>
      </c>
      <c r="L7" s="193" t="s">
        <v>157</v>
      </c>
      <c r="M7" s="72">
        <v>0</v>
      </c>
      <c r="N7" s="72">
        <v>0</v>
      </c>
      <c r="O7" s="69">
        <f>M7+N7</f>
        <v>0</v>
      </c>
      <c r="P7" s="42"/>
      <c r="Q7" s="43">
        <v>0</v>
      </c>
      <c r="R7" s="69"/>
      <c r="S7" s="70">
        <f>Q7+R7</f>
        <v>0</v>
      </c>
    </row>
    <row r="8" spans="1:20" ht="30" hidden="1" customHeight="1" x14ac:dyDescent="0.25">
      <c r="B8" s="2" t="s">
        <v>128</v>
      </c>
      <c r="C8" s="97" t="s">
        <v>122</v>
      </c>
      <c r="D8" s="95" t="s">
        <v>123</v>
      </c>
      <c r="E8" s="2" t="s">
        <v>156</v>
      </c>
      <c r="F8" s="2" t="s">
        <v>7</v>
      </c>
      <c r="G8" s="191">
        <v>3.1399999999999997E-2</v>
      </c>
      <c r="H8" s="191">
        <v>0.16209999999999999</v>
      </c>
      <c r="I8" s="192">
        <v>42916</v>
      </c>
      <c r="J8" s="192">
        <v>42917</v>
      </c>
      <c r="K8" s="192">
        <v>42552</v>
      </c>
      <c r="L8" s="193" t="s">
        <v>139</v>
      </c>
      <c r="M8" s="72">
        <v>0</v>
      </c>
      <c r="N8" s="72"/>
      <c r="O8" s="69">
        <f>M8+N8</f>
        <v>0</v>
      </c>
      <c r="P8" s="42"/>
      <c r="Q8" s="43">
        <v>0</v>
      </c>
      <c r="R8" s="69"/>
      <c r="S8" s="70">
        <f>Q8+R8</f>
        <v>0</v>
      </c>
    </row>
    <row r="9" spans="1:20" ht="30" hidden="1" x14ac:dyDescent="0.25">
      <c r="B9" s="2" t="s">
        <v>22</v>
      </c>
      <c r="C9" s="97" t="s">
        <v>132</v>
      </c>
      <c r="D9" s="94" t="s">
        <v>124</v>
      </c>
      <c r="E9" s="2" t="s">
        <v>140</v>
      </c>
      <c r="F9" s="2" t="s">
        <v>7</v>
      </c>
      <c r="G9" s="191">
        <v>3.1399999999999997E-2</v>
      </c>
      <c r="H9" s="191">
        <v>0.16209999999999999</v>
      </c>
      <c r="I9" s="192">
        <v>42916</v>
      </c>
      <c r="J9" s="192">
        <v>42917</v>
      </c>
      <c r="K9" s="192">
        <v>42552</v>
      </c>
      <c r="L9" s="193" t="s">
        <v>139</v>
      </c>
      <c r="M9" s="72">
        <v>0</v>
      </c>
      <c r="N9" s="72">
        <v>0</v>
      </c>
      <c r="O9" s="69">
        <f>M9+N9</f>
        <v>0</v>
      </c>
      <c r="P9" s="42"/>
      <c r="Q9" s="43">
        <v>0</v>
      </c>
      <c r="R9" s="69">
        <v>0</v>
      </c>
      <c r="S9" s="70">
        <f>Q9+R9</f>
        <v>0</v>
      </c>
    </row>
    <row r="10" spans="1:20" x14ac:dyDescent="0.25">
      <c r="C10" s="94"/>
      <c r="D10" s="94"/>
      <c r="E10" s="77"/>
      <c r="G10" s="127"/>
      <c r="H10" s="127"/>
      <c r="I10" s="119"/>
      <c r="J10" s="119"/>
      <c r="K10" s="119"/>
      <c r="L10" s="95"/>
      <c r="M10" s="25"/>
      <c r="N10" s="166"/>
      <c r="O10" s="25"/>
      <c r="P10" s="96"/>
      <c r="Q10" s="167"/>
      <c r="R10" s="25"/>
      <c r="S10" s="26"/>
    </row>
    <row r="11" spans="1:20" x14ac:dyDescent="0.25">
      <c r="B11" s="29"/>
      <c r="C11" s="94"/>
      <c r="D11" s="94"/>
      <c r="L11" s="5" t="s">
        <v>38</v>
      </c>
      <c r="M11" s="68">
        <f>SUM(M7:M10)</f>
        <v>0</v>
      </c>
      <c r="N11" s="68">
        <f>SUM(N7:N10)</f>
        <v>0</v>
      </c>
      <c r="O11" s="68">
        <f>SUM(O7:O10)</f>
        <v>0</v>
      </c>
      <c r="P11" s="68"/>
      <c r="Q11" s="68">
        <f>SUM(Q7:Q10)</f>
        <v>0</v>
      </c>
      <c r="R11" s="68">
        <f>SUM(R7:R10)</f>
        <v>0</v>
      </c>
      <c r="S11" s="23">
        <f>SUM(S7:S10)</f>
        <v>0</v>
      </c>
    </row>
    <row r="12" spans="1:20" x14ac:dyDescent="0.25">
      <c r="B12" s="29"/>
      <c r="C12" s="94"/>
      <c r="D12" s="94"/>
      <c r="L12" s="5"/>
      <c r="M12" s="68"/>
      <c r="N12" s="68"/>
      <c r="O12" s="68"/>
      <c r="P12" s="29"/>
      <c r="Q12" s="68"/>
      <c r="R12" s="68"/>
      <c r="S12" s="70"/>
    </row>
    <row r="13" spans="1:20" x14ac:dyDescent="0.25">
      <c r="B13" s="8" t="s">
        <v>125</v>
      </c>
      <c r="C13" s="94"/>
      <c r="D13" s="94"/>
      <c r="L13" s="5"/>
      <c r="M13" s="68"/>
      <c r="N13" s="68"/>
      <c r="O13" s="68"/>
      <c r="P13" s="29"/>
      <c r="Q13" s="68"/>
      <c r="R13" s="68"/>
      <c r="S13" s="70"/>
    </row>
    <row r="14" spans="1:20" ht="31.5" customHeight="1" x14ac:dyDescent="0.25">
      <c r="B14" s="345" t="s">
        <v>126</v>
      </c>
      <c r="C14" s="345"/>
      <c r="D14" s="345"/>
      <c r="E14" s="345"/>
      <c r="F14" s="345"/>
      <c r="G14" s="124"/>
      <c r="H14" s="124"/>
      <c r="I14" s="118"/>
      <c r="L14" s="5"/>
      <c r="S14" s="27"/>
    </row>
    <row r="15" spans="1:20" x14ac:dyDescent="0.25">
      <c r="C15" s="94"/>
      <c r="D15" s="94"/>
      <c r="L15" s="5"/>
      <c r="M15" s="68"/>
      <c r="N15" s="68"/>
      <c r="O15" s="68"/>
      <c r="Q15" s="68"/>
      <c r="R15" s="68"/>
      <c r="S15" s="70"/>
    </row>
    <row r="16" spans="1:20" ht="44.25" customHeight="1" x14ac:dyDescent="0.25">
      <c r="B16" s="338" t="s">
        <v>129</v>
      </c>
      <c r="C16" s="338"/>
      <c r="D16" s="338"/>
      <c r="E16" s="338"/>
      <c r="F16" s="338"/>
      <c r="G16" s="120"/>
      <c r="H16" s="120"/>
      <c r="I16" s="114"/>
      <c r="L16" s="5"/>
      <c r="M16" s="68"/>
      <c r="N16" s="68"/>
      <c r="O16" s="68"/>
      <c r="Q16" s="68"/>
      <c r="R16" s="68"/>
      <c r="S16" s="70"/>
    </row>
    <row r="17" spans="1:20" x14ac:dyDescent="0.25">
      <c r="B17" s="111"/>
      <c r="C17" s="111"/>
      <c r="D17" s="111"/>
      <c r="E17" s="111"/>
      <c r="F17" s="111"/>
      <c r="G17" s="120"/>
      <c r="H17" s="120"/>
      <c r="I17" s="114"/>
      <c r="L17" s="5"/>
      <c r="M17" s="68"/>
      <c r="N17" s="68"/>
      <c r="O17" s="68"/>
      <c r="Q17" s="68"/>
      <c r="R17" s="68"/>
      <c r="S17" s="70"/>
    </row>
    <row r="18" spans="1:20" ht="30" customHeight="1" x14ac:dyDescent="0.25">
      <c r="B18" s="338" t="s">
        <v>160</v>
      </c>
      <c r="C18" s="338"/>
      <c r="D18" s="338"/>
      <c r="E18" s="338"/>
      <c r="F18" s="338"/>
      <c r="G18" s="198"/>
      <c r="H18" s="198"/>
      <c r="I18" s="198"/>
      <c r="L18" s="5"/>
      <c r="M18" s="68"/>
      <c r="N18" s="68"/>
      <c r="O18" s="68"/>
      <c r="Q18" s="68"/>
      <c r="R18" s="68"/>
      <c r="S18" s="70"/>
    </row>
    <row r="19" spans="1:20" ht="19.5" customHeight="1" x14ac:dyDescent="0.25">
      <c r="B19" s="346" t="s">
        <v>159</v>
      </c>
      <c r="C19" s="346"/>
      <c r="D19" s="346"/>
      <c r="E19" s="346"/>
      <c r="F19" s="346"/>
      <c r="G19" s="198"/>
      <c r="H19" s="198"/>
      <c r="I19" s="198"/>
      <c r="L19" s="5"/>
      <c r="M19" s="68"/>
      <c r="N19" s="68"/>
      <c r="O19" s="68"/>
      <c r="Q19" s="68"/>
      <c r="R19" s="68"/>
      <c r="S19" s="70"/>
    </row>
    <row r="20" spans="1:20" x14ac:dyDescent="0.25">
      <c r="B20" s="200"/>
      <c r="C20" s="200"/>
      <c r="D20" s="200"/>
      <c r="E20" s="200"/>
      <c r="F20" s="200"/>
      <c r="G20" s="200"/>
      <c r="H20" s="200"/>
      <c r="I20" s="200"/>
      <c r="L20" s="5"/>
      <c r="M20" s="68"/>
      <c r="N20" s="68"/>
      <c r="O20" s="68"/>
      <c r="Q20" s="68"/>
      <c r="R20" s="68"/>
      <c r="S20" s="70"/>
    </row>
    <row r="21" spans="1:20" x14ac:dyDescent="0.25">
      <c r="B21" s="7" t="s">
        <v>109</v>
      </c>
      <c r="C21" s="104" t="s">
        <v>112</v>
      </c>
      <c r="D21" s="104" t="s">
        <v>113</v>
      </c>
      <c r="E21" s="111"/>
      <c r="F21" s="111"/>
      <c r="G21" s="120"/>
      <c r="H21" s="120"/>
      <c r="I21" s="114"/>
      <c r="L21" s="5"/>
      <c r="M21" s="68"/>
      <c r="N21" s="68"/>
      <c r="O21" s="68"/>
      <c r="Q21" s="68"/>
      <c r="R21" s="68"/>
      <c r="S21" s="70"/>
    </row>
    <row r="22" spans="1:20" x14ac:dyDescent="0.25">
      <c r="C22" s="94"/>
      <c r="D22" s="94"/>
      <c r="E22" s="111"/>
      <c r="F22" s="111"/>
      <c r="G22" s="120"/>
      <c r="H22" s="120"/>
      <c r="I22" s="114"/>
      <c r="L22" s="5"/>
      <c r="M22" s="68"/>
      <c r="N22" s="68"/>
      <c r="O22" s="68"/>
      <c r="Q22" s="68"/>
      <c r="R22" s="68"/>
      <c r="S22" s="70"/>
    </row>
    <row r="23" spans="1:20" x14ac:dyDescent="0.25">
      <c r="C23" s="94"/>
      <c r="D23" s="94"/>
      <c r="L23" s="5"/>
      <c r="M23" s="68"/>
      <c r="N23" s="68"/>
      <c r="O23" s="68"/>
      <c r="Q23" s="68"/>
      <c r="R23" s="68"/>
      <c r="S23" s="70"/>
    </row>
    <row r="24" spans="1:20" x14ac:dyDescent="0.25">
      <c r="C24" s="94"/>
      <c r="D24" s="94"/>
      <c r="L24" s="5"/>
      <c r="M24" s="68"/>
      <c r="N24" s="68"/>
      <c r="O24" s="68"/>
      <c r="Q24" s="68"/>
      <c r="R24" s="68"/>
      <c r="S24" s="70"/>
    </row>
    <row r="25" spans="1:20" ht="15.75" x14ac:dyDescent="0.25">
      <c r="B25" s="201"/>
      <c r="C25" s="94"/>
      <c r="D25" s="94"/>
      <c r="L25" s="5"/>
      <c r="M25" s="68"/>
      <c r="N25" s="68"/>
      <c r="O25" s="68"/>
      <c r="Q25" s="68"/>
      <c r="R25" s="68"/>
      <c r="S25" s="70"/>
    </row>
    <row r="26" spans="1:20" x14ac:dyDescent="0.25">
      <c r="B26" s="197" t="s">
        <v>166</v>
      </c>
      <c r="C26" s="94"/>
      <c r="D26" s="94"/>
      <c r="L26" s="5"/>
      <c r="M26" s="68"/>
      <c r="N26" s="68"/>
      <c r="O26" s="68"/>
      <c r="Q26" s="68"/>
      <c r="R26" s="68"/>
      <c r="S26" s="70"/>
    </row>
    <row r="27" spans="1:20" x14ac:dyDescent="0.25">
      <c r="B27" s="197"/>
      <c r="C27" s="94"/>
      <c r="D27" s="94"/>
      <c r="L27" s="5"/>
      <c r="M27" s="68"/>
      <c r="N27" s="68"/>
      <c r="O27" s="68"/>
      <c r="Q27" s="68"/>
      <c r="R27" s="68"/>
      <c r="S27" s="70"/>
    </row>
    <row r="28" spans="1:20" x14ac:dyDescent="0.25">
      <c r="B28" s="10"/>
      <c r="C28" s="10"/>
      <c r="D28" s="10"/>
      <c r="E28" s="10"/>
      <c r="F28" s="10"/>
      <c r="G28" s="10"/>
      <c r="H28" s="10"/>
      <c r="I28" s="10"/>
      <c r="J28" s="10"/>
      <c r="K28" s="29"/>
      <c r="L28" s="29"/>
      <c r="M28" s="29"/>
      <c r="N28" s="29"/>
      <c r="O28" s="29"/>
      <c r="P28" s="29"/>
      <c r="Q28" s="56"/>
      <c r="R28" s="56"/>
      <c r="S28" s="172"/>
      <c r="T28" s="51"/>
    </row>
    <row r="29" spans="1:20" x14ac:dyDescent="0.25">
      <c r="K29" s="112"/>
      <c r="L29" s="112"/>
      <c r="M29" s="112"/>
      <c r="N29" s="112"/>
      <c r="O29" s="112"/>
      <c r="P29" s="112"/>
      <c r="Q29" s="171" t="s">
        <v>90</v>
      </c>
      <c r="R29" s="173"/>
      <c r="S29" s="174"/>
    </row>
    <row r="30" spans="1:20" ht="29.25" x14ac:dyDescent="0.25">
      <c r="B30" s="17" t="s">
        <v>39</v>
      </c>
      <c r="C30" s="130" t="s">
        <v>2</v>
      </c>
      <c r="D30" s="130" t="s">
        <v>34</v>
      </c>
      <c r="E30" s="131" t="s">
        <v>35</v>
      </c>
      <c r="F30" s="130" t="s">
        <v>36</v>
      </c>
      <c r="G30" s="342" t="s">
        <v>37</v>
      </c>
      <c r="H30" s="342"/>
      <c r="I30" s="342"/>
      <c r="J30" s="130"/>
      <c r="K30" s="162"/>
      <c r="L30" s="162"/>
      <c r="M30" s="342"/>
      <c r="N30" s="342"/>
      <c r="O30" s="10"/>
      <c r="P30" s="10"/>
      <c r="Q30" s="54" t="s">
        <v>88</v>
      </c>
      <c r="R30" s="54"/>
      <c r="S30" s="55"/>
    </row>
    <row r="31" spans="1:20" ht="15" customHeight="1" x14ac:dyDescent="0.25">
      <c r="A31" s="29"/>
      <c r="C31" s="136"/>
      <c r="D31" s="158"/>
      <c r="E31" s="137"/>
      <c r="F31" s="140"/>
      <c r="G31" s="344"/>
      <c r="H31" s="344"/>
      <c r="I31" s="344"/>
      <c r="J31" s="344"/>
      <c r="K31" s="141"/>
      <c r="L31" s="142"/>
      <c r="M31" s="143"/>
      <c r="N31" s="143"/>
      <c r="O31" s="18"/>
      <c r="P31" s="18"/>
    </row>
    <row r="32" spans="1:20" x14ac:dyDescent="0.25">
      <c r="B32" s="36"/>
      <c r="C32" s="157"/>
      <c r="D32" s="159"/>
      <c r="E32" s="138"/>
      <c r="F32" s="15"/>
      <c r="G32" s="38"/>
      <c r="H32" s="38"/>
      <c r="I32" s="38"/>
      <c r="J32" s="38"/>
      <c r="K32" s="38"/>
      <c r="L32" s="33"/>
      <c r="M32" s="31"/>
      <c r="N32" s="101"/>
    </row>
    <row r="33" spans="3:16" ht="16.5" customHeight="1" x14ac:dyDescent="0.25">
      <c r="C33" s="156"/>
      <c r="D33" s="159"/>
      <c r="E33" s="138"/>
      <c r="F33" s="160"/>
      <c r="G33" s="38"/>
      <c r="H33" s="38"/>
      <c r="I33" s="38"/>
      <c r="J33" s="38"/>
      <c r="K33" s="38"/>
      <c r="L33" s="39"/>
      <c r="M33" s="20"/>
      <c r="N33" s="101"/>
      <c r="O33" s="101"/>
      <c r="P33" s="29"/>
    </row>
    <row r="34" spans="3:16" ht="15" hidden="1" customHeight="1" x14ac:dyDescent="0.25">
      <c r="D34" s="45"/>
      <c r="E34" s="132"/>
      <c r="F34" s="95"/>
    </row>
    <row r="35" spans="3:16" ht="15" customHeight="1" x14ac:dyDescent="0.25">
      <c r="D35" s="45"/>
      <c r="E35" s="139"/>
      <c r="F35" s="84"/>
      <c r="G35" s="105"/>
      <c r="H35" s="105"/>
      <c r="I35" s="105"/>
      <c r="J35" s="105"/>
      <c r="K35" s="105"/>
    </row>
    <row r="36" spans="3:16" x14ac:dyDescent="0.25">
      <c r="C36" s="156"/>
      <c r="D36" s="45"/>
      <c r="E36" s="132"/>
      <c r="F36" s="155"/>
    </row>
    <row r="37" spans="3:16" x14ac:dyDescent="0.25">
      <c r="D37" s="45"/>
      <c r="E37" s="132"/>
      <c r="F37" s="95"/>
    </row>
    <row r="38" spans="3:16" ht="15" customHeight="1" x14ac:dyDescent="0.25">
      <c r="D38" s="45"/>
      <c r="E38" s="132"/>
      <c r="F38" s="95"/>
    </row>
    <row r="39" spans="3:16" x14ac:dyDescent="0.25">
      <c r="E39" s="161">
        <f>SUM(E31:E38)</f>
        <v>0</v>
      </c>
    </row>
    <row r="40" spans="3:16" x14ac:dyDescent="0.25">
      <c r="E40" s="19"/>
      <c r="F40" s="19"/>
      <c r="G40" s="122"/>
      <c r="H40" s="122"/>
      <c r="I40" s="116"/>
      <c r="J40" s="19"/>
      <c r="K40" s="19"/>
      <c r="L40" s="19"/>
      <c r="M40" s="19"/>
      <c r="N40" s="19"/>
      <c r="O40" s="19"/>
    </row>
    <row r="41" spans="3:16" x14ac:dyDescent="0.25">
      <c r="E41" s="19"/>
      <c r="F41" s="19"/>
      <c r="G41" s="122"/>
      <c r="H41" s="122"/>
      <c r="I41" s="116"/>
      <c r="J41" s="19"/>
      <c r="K41" s="19"/>
      <c r="L41" s="19"/>
      <c r="M41" s="19"/>
      <c r="N41" s="19"/>
      <c r="O41" s="19"/>
    </row>
  </sheetData>
  <mergeCells count="9">
    <mergeCell ref="G31:J31"/>
    <mergeCell ref="Q1:S1"/>
    <mergeCell ref="M30:N30"/>
    <mergeCell ref="Q2:S2"/>
    <mergeCell ref="B14:F14"/>
    <mergeCell ref="B16:F16"/>
    <mergeCell ref="G30:I30"/>
    <mergeCell ref="B18:F18"/>
    <mergeCell ref="B19:F19"/>
  </mergeCells>
  <hyperlinks>
    <hyperlink ref="B19" r:id="rId1"/>
    <hyperlink ref="B26" r:id="rId2"/>
  </hyperlinks>
  <printOptions horizontalCentered="1" gridLines="1"/>
  <pageMargins left="0" right="0" top="0.75" bottom="0.75" header="0.3" footer="0.3"/>
  <pageSetup scale="45" orientation="landscape" horizontalDpi="1200" verticalDpi="1200" r:id="rId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0"/>
  <sheetViews>
    <sheetView topLeftCell="C22" zoomScale="90" zoomScaleNormal="90" workbookViewId="0">
      <selection activeCell="S50" sqref="S50"/>
    </sheetView>
  </sheetViews>
  <sheetFormatPr defaultColWidth="9.140625" defaultRowHeight="15" x14ac:dyDescent="0.25"/>
  <cols>
    <col min="1" max="1" width="5.7109375" style="2" hidden="1" customWidth="1"/>
    <col min="2" max="2" width="58.5703125" style="2" customWidth="1"/>
    <col min="3" max="3" width="23.140625" style="2" customWidth="1"/>
    <col min="4" max="4" width="13.7109375" style="2" customWidth="1"/>
    <col min="5" max="5" width="17" style="2" bestFit="1" customWidth="1"/>
    <col min="6" max="6" width="21.7109375" style="2" customWidth="1"/>
    <col min="7" max="7" width="10.28515625" style="2" customWidth="1"/>
    <col min="8" max="8" width="12.85546875" style="2" customWidth="1"/>
    <col min="9" max="9" width="13.42578125" style="2" customWidth="1"/>
    <col min="10" max="10" width="15.7109375" style="2" customWidth="1"/>
    <col min="11" max="11" width="8.85546875" style="2" customWidth="1"/>
    <col min="12" max="12" width="18.7109375" style="2" customWidth="1"/>
    <col min="13" max="13" width="13.28515625" style="2" bestFit="1" customWidth="1"/>
    <col min="14" max="14" width="13.7109375" style="2" customWidth="1"/>
    <col min="15" max="15" width="14.42578125" style="2" customWidth="1"/>
    <col min="16" max="16" width="3.140625" style="2" customWidth="1"/>
    <col min="17" max="17" width="12" style="2" customWidth="1"/>
    <col min="18" max="18" width="14.140625" style="2" customWidth="1"/>
    <col min="19" max="19" width="16.7109375" style="2" customWidth="1"/>
    <col min="20" max="16384" width="9.140625" style="2"/>
  </cols>
  <sheetData>
    <row r="1" spans="1:20" ht="14.45" customHeight="1" x14ac:dyDescent="0.25">
      <c r="A1" s="2" t="s">
        <v>342</v>
      </c>
      <c r="B1" s="8" t="s">
        <v>204</v>
      </c>
      <c r="Q1" s="335" t="s">
        <v>230</v>
      </c>
      <c r="R1" s="335"/>
      <c r="S1" s="335"/>
    </row>
    <row r="2" spans="1:20" x14ac:dyDescent="0.25">
      <c r="B2" s="90" t="s">
        <v>148</v>
      </c>
      <c r="C2" s="187">
        <v>44377</v>
      </c>
      <c r="M2" s="73"/>
      <c r="N2" s="73"/>
      <c r="P2" s="29"/>
      <c r="Q2" s="334" t="s">
        <v>338</v>
      </c>
      <c r="R2" s="334"/>
      <c r="S2" s="334"/>
    </row>
    <row r="3" spans="1:20" ht="15.75" thickBot="1" x14ac:dyDescent="0.3">
      <c r="A3" s="2" t="s">
        <v>16</v>
      </c>
      <c r="B3" s="44" t="s">
        <v>205</v>
      </c>
      <c r="C3" s="8"/>
      <c r="D3" s="8"/>
      <c r="E3" s="8"/>
      <c r="P3" s="29"/>
      <c r="Q3" s="45"/>
      <c r="R3" s="30"/>
    </row>
    <row r="4" spans="1:20" x14ac:dyDescent="0.25">
      <c r="B4" s="8" t="s">
        <v>215</v>
      </c>
      <c r="M4" s="87" t="s">
        <v>28</v>
      </c>
      <c r="N4" s="87" t="s">
        <v>28</v>
      </c>
      <c r="O4" s="87" t="s">
        <v>28</v>
      </c>
      <c r="P4" s="153"/>
      <c r="Q4" s="91" t="s">
        <v>29</v>
      </c>
      <c r="R4" s="91" t="s">
        <v>31</v>
      </c>
      <c r="S4" s="91" t="s">
        <v>23</v>
      </c>
      <c r="T4" s="7"/>
    </row>
    <row r="5" spans="1:20" ht="15.75" thickBot="1" x14ac:dyDescent="0.3">
      <c r="G5" s="188" t="s">
        <v>231</v>
      </c>
      <c r="H5" s="188" t="s">
        <v>231</v>
      </c>
      <c r="M5" s="88" t="s">
        <v>27</v>
      </c>
      <c r="N5" s="88" t="s">
        <v>26</v>
      </c>
      <c r="O5" s="88" t="s">
        <v>25</v>
      </c>
      <c r="P5" s="153"/>
      <c r="Q5" s="92" t="s">
        <v>30</v>
      </c>
      <c r="R5" s="92" t="s">
        <v>30</v>
      </c>
      <c r="S5" s="92" t="s">
        <v>30</v>
      </c>
      <c r="T5" s="7"/>
    </row>
    <row r="6" spans="1:20" ht="84" customHeight="1" thickBot="1" x14ac:dyDescent="0.3">
      <c r="B6" s="86" t="s">
        <v>1</v>
      </c>
      <c r="C6" s="86" t="s">
        <v>127</v>
      </c>
      <c r="D6" s="86" t="s">
        <v>107</v>
      </c>
      <c r="E6" s="86" t="s">
        <v>3</v>
      </c>
      <c r="F6" s="86" t="s">
        <v>4</v>
      </c>
      <c r="G6" s="110" t="s">
        <v>136</v>
      </c>
      <c r="H6" s="110" t="s">
        <v>137</v>
      </c>
      <c r="I6" s="110" t="s">
        <v>133</v>
      </c>
      <c r="J6" s="110" t="s">
        <v>134</v>
      </c>
      <c r="K6" s="110" t="s">
        <v>121</v>
      </c>
      <c r="L6" s="85" t="s">
        <v>5</v>
      </c>
      <c r="M6" s="89" t="s">
        <v>6</v>
      </c>
      <c r="N6" s="89" t="s">
        <v>6</v>
      </c>
      <c r="O6" s="89" t="s">
        <v>6</v>
      </c>
      <c r="P6" s="153"/>
      <c r="Q6" s="93"/>
      <c r="R6" s="99" t="s">
        <v>32</v>
      </c>
      <c r="S6" s="100" t="s">
        <v>33</v>
      </c>
    </row>
    <row r="7" spans="1:20" ht="40.5" customHeight="1" x14ac:dyDescent="0.25">
      <c r="B7" s="2" t="s">
        <v>128</v>
      </c>
      <c r="C7" s="243" t="s">
        <v>122</v>
      </c>
      <c r="D7" s="95" t="s">
        <v>248</v>
      </c>
      <c r="E7" s="2" t="s">
        <v>233</v>
      </c>
      <c r="F7" s="2" t="s">
        <v>7</v>
      </c>
      <c r="G7" s="191">
        <v>2.9600000000000001E-2</v>
      </c>
      <c r="H7" s="191">
        <v>0.1744</v>
      </c>
      <c r="I7" s="192">
        <v>44377</v>
      </c>
      <c r="J7" s="192">
        <v>44378</v>
      </c>
      <c r="K7" s="192">
        <v>44013</v>
      </c>
      <c r="L7" s="193" t="s">
        <v>234</v>
      </c>
      <c r="M7" s="69">
        <v>9716.3799999999992</v>
      </c>
      <c r="N7" s="69"/>
      <c r="O7" s="69">
        <f>M7+N7</f>
        <v>9716.3799999999992</v>
      </c>
      <c r="P7" s="69"/>
      <c r="Q7" s="69">
        <v>9716.3799999999992</v>
      </c>
      <c r="R7" s="69"/>
      <c r="S7" s="70">
        <f>Q7+R7</f>
        <v>9716.3799999999992</v>
      </c>
    </row>
    <row r="8" spans="1:20" ht="25.5" customHeight="1" x14ac:dyDescent="0.25">
      <c r="B8" s="343" t="s">
        <v>223</v>
      </c>
      <c r="C8" s="243" t="s">
        <v>190</v>
      </c>
      <c r="D8" s="2" t="s">
        <v>191</v>
      </c>
      <c r="E8" s="2" t="s">
        <v>233</v>
      </c>
      <c r="F8" s="2" t="s">
        <v>7</v>
      </c>
      <c r="G8" s="191">
        <v>2.9600000000000001E-2</v>
      </c>
      <c r="H8" s="191">
        <v>0.1744</v>
      </c>
      <c r="I8" s="119">
        <v>44043</v>
      </c>
      <c r="J8" s="119">
        <v>44058</v>
      </c>
      <c r="K8" s="192">
        <v>40756</v>
      </c>
      <c r="L8" s="193" t="s">
        <v>239</v>
      </c>
      <c r="M8" s="80">
        <v>549761</v>
      </c>
      <c r="N8" s="69"/>
      <c r="O8" s="69">
        <f>M8+N8</f>
        <v>549761</v>
      </c>
      <c r="P8" s="69"/>
      <c r="Q8" s="69">
        <v>287669.64</v>
      </c>
      <c r="R8" s="69"/>
      <c r="S8" s="70">
        <f>Q8+R8</f>
        <v>287669.64</v>
      </c>
    </row>
    <row r="9" spans="1:20" ht="15.6" customHeight="1" x14ac:dyDescent="0.25">
      <c r="B9" s="343"/>
      <c r="C9" s="254"/>
      <c r="G9" s="126"/>
      <c r="H9" s="126"/>
      <c r="I9" s="119"/>
      <c r="J9" s="119"/>
      <c r="K9" s="119"/>
      <c r="M9" s="80"/>
      <c r="N9" s="69"/>
      <c r="O9" s="69"/>
      <c r="P9" s="69"/>
      <c r="Q9" s="69"/>
      <c r="R9" s="69"/>
      <c r="S9" s="70"/>
    </row>
    <row r="10" spans="1:20" ht="35.25" customHeight="1" x14ac:dyDescent="0.25">
      <c r="B10" s="2" t="s">
        <v>241</v>
      </c>
      <c r="C10" s="243" t="s">
        <v>242</v>
      </c>
      <c r="D10" s="95" t="s">
        <v>243</v>
      </c>
      <c r="E10" s="2" t="s">
        <v>244</v>
      </c>
      <c r="F10" s="2" t="s">
        <v>7</v>
      </c>
      <c r="G10" s="191">
        <v>2.9600000000000001E-2</v>
      </c>
      <c r="H10" s="191">
        <v>0.1744</v>
      </c>
      <c r="I10" s="192">
        <v>44834</v>
      </c>
      <c r="J10" s="192">
        <v>44849</v>
      </c>
      <c r="K10" s="192">
        <v>43614</v>
      </c>
      <c r="L10" s="193" t="s">
        <v>311</v>
      </c>
      <c r="M10" s="80">
        <v>13724.53</v>
      </c>
      <c r="N10" s="69"/>
      <c r="O10" s="69">
        <f>M10+N10</f>
        <v>13724.53</v>
      </c>
      <c r="P10" s="69"/>
      <c r="Q10" s="69"/>
      <c r="R10" s="69"/>
      <c r="S10" s="70">
        <f>Q10+R10</f>
        <v>0</v>
      </c>
    </row>
    <row r="11" spans="1:20" ht="35.25" customHeight="1" x14ac:dyDescent="0.25">
      <c r="B11" s="2" t="s">
        <v>283</v>
      </c>
      <c r="C11" s="243" t="s">
        <v>264</v>
      </c>
      <c r="D11" s="95" t="s">
        <v>254</v>
      </c>
      <c r="E11" s="2" t="s">
        <v>284</v>
      </c>
      <c r="F11" s="2" t="s">
        <v>7</v>
      </c>
      <c r="G11" s="191">
        <f t="shared" ref="G11:H11" si="0">+G10</f>
        <v>2.9600000000000001E-2</v>
      </c>
      <c r="H11" s="191">
        <f t="shared" si="0"/>
        <v>0.1744</v>
      </c>
      <c r="I11" s="192">
        <v>44377</v>
      </c>
      <c r="J11" s="192">
        <v>44392</v>
      </c>
      <c r="K11" s="192">
        <v>43613</v>
      </c>
      <c r="L11" s="193" t="s">
        <v>234</v>
      </c>
      <c r="M11" s="81">
        <v>7302.48</v>
      </c>
      <c r="N11" s="69"/>
      <c r="O11" s="69">
        <f>M11+N11</f>
        <v>7302.48</v>
      </c>
      <c r="P11" s="69"/>
      <c r="Q11" s="69"/>
      <c r="R11" s="69"/>
      <c r="S11" s="70">
        <f>Q11+R11</f>
        <v>0</v>
      </c>
    </row>
    <row r="12" spans="1:20" ht="35.25" customHeight="1" x14ac:dyDescent="0.25">
      <c r="B12" s="2" t="s">
        <v>314</v>
      </c>
      <c r="C12" s="243" t="s">
        <v>242</v>
      </c>
      <c r="D12" s="95" t="s">
        <v>243</v>
      </c>
      <c r="E12" s="2" t="s">
        <v>315</v>
      </c>
      <c r="F12" s="2" t="s">
        <v>7</v>
      </c>
      <c r="G12" s="313">
        <f>+G10</f>
        <v>2.9600000000000001E-2</v>
      </c>
      <c r="H12" s="313">
        <f>+H10</f>
        <v>0.1744</v>
      </c>
      <c r="I12" s="312">
        <v>44773</v>
      </c>
      <c r="J12" s="312">
        <v>44788</v>
      </c>
      <c r="K12" s="192">
        <v>43980</v>
      </c>
      <c r="L12" s="193" t="s">
        <v>316</v>
      </c>
      <c r="M12" s="81">
        <v>728.12</v>
      </c>
      <c r="N12" s="72"/>
      <c r="O12" s="69">
        <f>M12+N12</f>
        <v>728.12</v>
      </c>
      <c r="P12" s="69"/>
      <c r="Q12" s="69"/>
      <c r="R12" s="69"/>
      <c r="S12" s="70">
        <f>Q12+R12</f>
        <v>0</v>
      </c>
    </row>
    <row r="13" spans="1:20" ht="35.25" customHeight="1" x14ac:dyDescent="0.25">
      <c r="B13" s="2" t="s">
        <v>318</v>
      </c>
      <c r="C13" s="243" t="s">
        <v>242</v>
      </c>
      <c r="D13" s="95" t="s">
        <v>243</v>
      </c>
      <c r="E13" s="2" t="s">
        <v>319</v>
      </c>
      <c r="F13" s="2" t="s">
        <v>7</v>
      </c>
      <c r="G13" s="191">
        <v>2.9600000000000001E-2</v>
      </c>
      <c r="H13" s="191">
        <v>0.1744</v>
      </c>
      <c r="I13" s="192">
        <v>44561</v>
      </c>
      <c r="J13" s="192">
        <v>44576</v>
      </c>
      <c r="K13" s="192">
        <v>43980</v>
      </c>
      <c r="L13" s="193" t="s">
        <v>320</v>
      </c>
      <c r="M13" s="81">
        <v>3000</v>
      </c>
      <c r="N13" s="69"/>
      <c r="O13" s="69">
        <f t="shared" ref="O13:O15" si="1">M13+N13</f>
        <v>3000</v>
      </c>
      <c r="P13" s="68"/>
      <c r="Q13" s="69"/>
      <c r="R13" s="69"/>
      <c r="S13" s="70">
        <f t="shared" ref="S13:S15" si="2">Q13+R13</f>
        <v>0</v>
      </c>
    </row>
    <row r="14" spans="1:20" ht="35.25" customHeight="1" x14ac:dyDescent="0.25">
      <c r="B14" s="2" t="s">
        <v>321</v>
      </c>
      <c r="C14" s="243" t="s">
        <v>264</v>
      </c>
      <c r="D14" s="95" t="s">
        <v>254</v>
      </c>
      <c r="E14" s="2" t="s">
        <v>322</v>
      </c>
      <c r="F14" s="2" t="s">
        <v>7</v>
      </c>
      <c r="G14" s="191">
        <v>2.9600000000000001E-2</v>
      </c>
      <c r="H14" s="191">
        <v>0.1744</v>
      </c>
      <c r="I14" s="192">
        <v>44742</v>
      </c>
      <c r="J14" s="192">
        <v>44757</v>
      </c>
      <c r="K14" s="192">
        <v>43979</v>
      </c>
      <c r="L14" s="193" t="s">
        <v>323</v>
      </c>
      <c r="M14" s="81">
        <v>1027</v>
      </c>
      <c r="N14" s="69"/>
      <c r="O14" s="69">
        <f t="shared" si="1"/>
        <v>1027</v>
      </c>
      <c r="P14" s="68"/>
      <c r="Q14" s="69"/>
      <c r="R14" s="69"/>
      <c r="S14" s="70">
        <f t="shared" si="2"/>
        <v>0</v>
      </c>
    </row>
    <row r="15" spans="1:20" ht="35.25" customHeight="1" x14ac:dyDescent="0.25">
      <c r="B15" s="2" t="s">
        <v>327</v>
      </c>
      <c r="C15" s="243" t="s">
        <v>242</v>
      </c>
      <c r="D15" s="95" t="s">
        <v>328</v>
      </c>
      <c r="E15" s="2" t="s">
        <v>329</v>
      </c>
      <c r="F15" s="2" t="s">
        <v>7</v>
      </c>
      <c r="G15" s="191">
        <v>2.9600000000000001E-2</v>
      </c>
      <c r="H15" s="191">
        <v>0.1744</v>
      </c>
      <c r="I15" s="192">
        <v>44440</v>
      </c>
      <c r="J15" s="192">
        <v>44440</v>
      </c>
      <c r="K15" s="192">
        <v>44201</v>
      </c>
      <c r="L15" s="193" t="s">
        <v>330</v>
      </c>
      <c r="M15" s="81">
        <v>92928.320000000007</v>
      </c>
      <c r="N15" s="69"/>
      <c r="O15" s="69">
        <f t="shared" si="1"/>
        <v>92928.320000000007</v>
      </c>
      <c r="P15" s="68"/>
      <c r="Q15" s="69"/>
      <c r="R15" s="69"/>
      <c r="S15" s="70">
        <f t="shared" si="2"/>
        <v>0</v>
      </c>
    </row>
    <row r="16" spans="1:20" ht="15" customHeight="1" x14ac:dyDescent="0.25">
      <c r="C16" s="243"/>
      <c r="D16" s="95"/>
      <c r="G16" s="191"/>
      <c r="H16" s="191"/>
      <c r="I16" s="192"/>
      <c r="J16" s="192"/>
      <c r="K16" s="192"/>
      <c r="L16" s="193"/>
      <c r="M16" s="80"/>
      <c r="N16" s="69"/>
      <c r="O16" s="69"/>
      <c r="P16" s="69"/>
      <c r="Q16" s="69"/>
      <c r="R16" s="69"/>
      <c r="S16" s="70"/>
    </row>
    <row r="17" spans="2:19" ht="23.25" customHeight="1" x14ac:dyDescent="0.25">
      <c r="C17" s="95"/>
      <c r="D17" s="95"/>
      <c r="G17" s="126"/>
      <c r="H17" s="126"/>
      <c r="I17" s="119"/>
      <c r="J17" s="119"/>
      <c r="K17" s="119" t="s">
        <v>100</v>
      </c>
      <c r="L17" s="21" t="s">
        <v>38</v>
      </c>
      <c r="M17" s="284">
        <f>SUM(M7:M16)</f>
        <v>678187.83000000007</v>
      </c>
      <c r="N17" s="284">
        <f>SUM(N7:N16)</f>
        <v>0</v>
      </c>
      <c r="O17" s="284">
        <f>SUM(O7:O16)</f>
        <v>678187.83000000007</v>
      </c>
      <c r="P17" s="68"/>
      <c r="Q17" s="284">
        <f>SUM(Q7:Q16)</f>
        <v>297386.02</v>
      </c>
      <c r="R17" s="284">
        <f>SUM(R7:R16)</f>
        <v>0</v>
      </c>
      <c r="S17" s="23">
        <f>SUM(S7:S16)</f>
        <v>297386.02</v>
      </c>
    </row>
    <row r="18" spans="2:19" x14ac:dyDescent="0.25">
      <c r="C18" s="95"/>
      <c r="D18" s="95"/>
      <c r="G18" s="126"/>
      <c r="H18" s="126"/>
      <c r="I18" s="119"/>
      <c r="J18" s="119"/>
      <c r="K18" s="119"/>
      <c r="L18" s="21"/>
      <c r="M18" s="68"/>
      <c r="N18" s="68"/>
      <c r="O18" s="68"/>
      <c r="P18" s="68"/>
      <c r="Q18" s="68"/>
      <c r="R18" s="68"/>
      <c r="S18" s="70"/>
    </row>
    <row r="19" spans="2:19" x14ac:dyDescent="0.25">
      <c r="B19" s="8" t="s">
        <v>125</v>
      </c>
      <c r="C19" s="94"/>
      <c r="D19" s="94"/>
      <c r="S19" s="27"/>
    </row>
    <row r="20" spans="2:19" ht="33.75" customHeight="1" x14ac:dyDescent="0.25">
      <c r="B20" s="338" t="s">
        <v>126</v>
      </c>
      <c r="C20" s="338"/>
      <c r="D20" s="338"/>
      <c r="E20" s="338"/>
      <c r="F20" s="338"/>
      <c r="S20" s="27"/>
    </row>
    <row r="21" spans="2:19" x14ac:dyDescent="0.25">
      <c r="C21" s="94"/>
      <c r="D21" s="94"/>
      <c r="S21" s="27"/>
    </row>
    <row r="22" spans="2:19" ht="50.25" customHeight="1" x14ac:dyDescent="0.25">
      <c r="B22" s="338" t="s">
        <v>129</v>
      </c>
      <c r="C22" s="338"/>
      <c r="D22" s="338"/>
      <c r="E22" s="338"/>
      <c r="F22" s="338"/>
      <c r="S22" s="27"/>
    </row>
    <row r="23" spans="2:19" x14ac:dyDescent="0.25">
      <c r="B23" s="244"/>
      <c r="C23" s="244"/>
      <c r="D23" s="244"/>
      <c r="E23" s="244"/>
      <c r="S23" s="27"/>
    </row>
    <row r="24" spans="2:19" ht="32.25" customHeight="1" x14ac:dyDescent="0.25">
      <c r="B24" s="338" t="s">
        <v>160</v>
      </c>
      <c r="C24" s="338"/>
      <c r="D24" s="338"/>
      <c r="E24" s="338"/>
      <c r="F24" s="338"/>
      <c r="S24" s="27"/>
    </row>
    <row r="25" spans="2:19" ht="15" customHeight="1" x14ac:dyDescent="0.25">
      <c r="B25" s="346" t="s">
        <v>159</v>
      </c>
      <c r="C25" s="338"/>
      <c r="D25" s="338"/>
      <c r="E25" s="338"/>
      <c r="F25" s="338"/>
      <c r="S25" s="27"/>
    </row>
    <row r="26" spans="2:19" ht="15" customHeight="1" x14ac:dyDescent="0.25">
      <c r="B26" s="244"/>
      <c r="C26" s="244"/>
      <c r="D26" s="244"/>
      <c r="E26" s="244"/>
      <c r="S26" s="27"/>
    </row>
    <row r="27" spans="2:19" x14ac:dyDescent="0.25">
      <c r="B27" s="7" t="s">
        <v>109</v>
      </c>
      <c r="C27" s="104" t="s">
        <v>112</v>
      </c>
      <c r="D27" s="104" t="s">
        <v>113</v>
      </c>
      <c r="E27" s="244"/>
      <c r="S27" s="27"/>
    </row>
    <row r="28" spans="2:19" x14ac:dyDescent="0.25">
      <c r="B28" s="2" t="s">
        <v>175</v>
      </c>
      <c r="C28" s="94" t="s">
        <v>135</v>
      </c>
      <c r="D28" s="94" t="s">
        <v>147</v>
      </c>
      <c r="E28" s="244"/>
      <c r="S28" s="27"/>
    </row>
    <row r="29" spans="2:19" x14ac:dyDescent="0.25">
      <c r="B29" s="2" t="s">
        <v>252</v>
      </c>
      <c r="C29" s="94" t="s">
        <v>135</v>
      </c>
      <c r="D29" s="94" t="s">
        <v>147</v>
      </c>
      <c r="S29" s="27"/>
    </row>
    <row r="30" spans="2:19" x14ac:dyDescent="0.25">
      <c r="B30" s="2" t="s">
        <v>260</v>
      </c>
      <c r="C30" s="94" t="s">
        <v>135</v>
      </c>
      <c r="D30" s="94" t="s">
        <v>147</v>
      </c>
      <c r="S30" s="27"/>
    </row>
    <row r="31" spans="2:19" x14ac:dyDescent="0.25">
      <c r="B31" s="2" t="s">
        <v>314</v>
      </c>
      <c r="C31" s="94" t="s">
        <v>135</v>
      </c>
      <c r="D31" s="94" t="s">
        <v>147</v>
      </c>
      <c r="S31" s="27"/>
    </row>
    <row r="32" spans="2:19" x14ac:dyDescent="0.25">
      <c r="B32" s="2" t="s">
        <v>318</v>
      </c>
      <c r="C32" s="94" t="s">
        <v>135</v>
      </c>
      <c r="D32" s="94" t="s">
        <v>147</v>
      </c>
      <c r="S32" s="27"/>
    </row>
    <row r="33" spans="2:20" x14ac:dyDescent="0.25">
      <c r="B33" s="2" t="s">
        <v>321</v>
      </c>
      <c r="C33" s="94" t="s">
        <v>135</v>
      </c>
      <c r="D33" s="94" t="s">
        <v>147</v>
      </c>
      <c r="S33" s="27"/>
    </row>
    <row r="34" spans="2:20" x14ac:dyDescent="0.25">
      <c r="B34" s="2" t="s">
        <v>326</v>
      </c>
      <c r="C34" s="94" t="s">
        <v>135</v>
      </c>
      <c r="D34" s="94" t="s">
        <v>147</v>
      </c>
      <c r="S34" s="27"/>
    </row>
    <row r="35" spans="2:20" x14ac:dyDescent="0.25">
      <c r="C35" s="94"/>
      <c r="D35" s="94"/>
      <c r="S35" s="27"/>
    </row>
    <row r="36" spans="2:20" x14ac:dyDescent="0.25">
      <c r="B36" s="275" t="s">
        <v>235</v>
      </c>
      <c r="C36" s="42"/>
      <c r="D36" s="42"/>
      <c r="E36" s="29"/>
      <c r="F36" s="29"/>
      <c r="G36" s="29"/>
      <c r="H36" s="29"/>
      <c r="I36" s="29"/>
      <c r="J36" s="29"/>
      <c r="K36" s="29"/>
      <c r="L36" s="29"/>
      <c r="M36" s="29"/>
      <c r="N36" s="29"/>
      <c r="O36" s="29"/>
      <c r="P36" s="29"/>
      <c r="Q36" s="29"/>
      <c r="R36" s="29"/>
      <c r="S36" s="27"/>
    </row>
    <row r="37" spans="2:20" x14ac:dyDescent="0.25">
      <c r="B37" s="276" t="s">
        <v>236</v>
      </c>
      <c r="C37" s="42"/>
      <c r="D37" s="42"/>
      <c r="E37" s="29"/>
      <c r="F37" s="29"/>
      <c r="G37" s="29"/>
      <c r="H37" s="29"/>
      <c r="I37" s="29"/>
      <c r="J37" s="29"/>
      <c r="K37" s="29"/>
      <c r="L37" s="29"/>
      <c r="M37" s="29"/>
      <c r="N37" s="29"/>
      <c r="O37" s="29"/>
      <c r="P37" s="29"/>
      <c r="Q37" s="29"/>
      <c r="R37" s="29"/>
      <c r="S37" s="27"/>
    </row>
    <row r="38" spans="2:20" x14ac:dyDescent="0.25">
      <c r="B38" s="276"/>
      <c r="C38" s="42"/>
      <c r="D38" s="42"/>
      <c r="E38" s="29"/>
      <c r="F38" s="29"/>
      <c r="G38" s="29"/>
      <c r="H38" s="29"/>
      <c r="I38" s="29"/>
      <c r="J38" s="29"/>
      <c r="K38" s="29"/>
      <c r="L38" s="29"/>
      <c r="M38" s="29"/>
      <c r="N38" s="29"/>
      <c r="O38" s="29"/>
      <c r="P38" s="29"/>
      <c r="Q38" s="29"/>
      <c r="R38" s="29"/>
      <c r="S38" s="27"/>
    </row>
    <row r="39" spans="2:20" x14ac:dyDescent="0.25">
      <c r="B39" s="277"/>
      <c r="C39" s="273"/>
      <c r="D39" s="273"/>
      <c r="E39" s="112"/>
      <c r="F39" s="112"/>
      <c r="G39" s="112"/>
      <c r="H39" s="112"/>
      <c r="I39" s="112"/>
      <c r="J39" s="112"/>
      <c r="K39" s="112"/>
      <c r="L39" s="112"/>
      <c r="M39" s="112"/>
      <c r="N39" s="112"/>
      <c r="O39" s="112"/>
      <c r="P39" s="112"/>
      <c r="Q39" s="171" t="s">
        <v>90</v>
      </c>
      <c r="R39" s="168"/>
      <c r="S39" s="169"/>
    </row>
    <row r="40" spans="2:20" x14ac:dyDescent="0.25">
      <c r="B40" s="17" t="s">
        <v>39</v>
      </c>
      <c r="C40" s="246" t="s">
        <v>2</v>
      </c>
      <c r="D40" s="246"/>
      <c r="E40" s="246" t="s">
        <v>34</v>
      </c>
      <c r="F40" s="246" t="s">
        <v>35</v>
      </c>
      <c r="G40" s="246"/>
      <c r="H40" s="246"/>
      <c r="I40" s="246"/>
      <c r="J40" s="246"/>
      <c r="K40" s="246"/>
      <c r="L40" s="246" t="s">
        <v>36</v>
      </c>
      <c r="M40" s="246" t="s">
        <v>37</v>
      </c>
      <c r="N40" s="47"/>
      <c r="O40" s="47"/>
      <c r="P40" s="47"/>
      <c r="Q40" s="54" t="s">
        <v>88</v>
      </c>
      <c r="R40" s="52"/>
      <c r="S40" s="53"/>
      <c r="T40" s="51"/>
    </row>
    <row r="41" spans="2:20" ht="15" customHeight="1" x14ac:dyDescent="0.25">
      <c r="B41" s="65"/>
      <c r="C41" s="153"/>
      <c r="D41" s="153"/>
      <c r="E41" s="153"/>
      <c r="F41" s="153"/>
      <c r="G41" s="153"/>
      <c r="H41" s="153"/>
      <c r="I41" s="153"/>
      <c r="J41" s="153"/>
      <c r="K41" s="153"/>
      <c r="L41" s="153"/>
      <c r="M41" s="153"/>
      <c r="N41" s="45"/>
      <c r="O41" s="45"/>
      <c r="P41" s="45"/>
      <c r="T41" s="51"/>
    </row>
    <row r="42" spans="2:20" ht="15" customHeight="1" x14ac:dyDescent="0.25">
      <c r="B42" s="65"/>
      <c r="C42" s="153"/>
      <c r="D42" s="153"/>
      <c r="E42" s="153"/>
      <c r="F42" s="153"/>
      <c r="G42" s="153"/>
      <c r="H42" s="153"/>
      <c r="I42" s="153"/>
      <c r="J42" s="153"/>
      <c r="K42" s="153"/>
      <c r="L42" s="153"/>
      <c r="M42" s="153"/>
      <c r="N42" s="45"/>
      <c r="O42" s="45"/>
      <c r="P42" s="45"/>
      <c r="Q42" s="59"/>
      <c r="R42" s="50"/>
      <c r="S42" s="50"/>
      <c r="T42" s="51"/>
    </row>
    <row r="43" spans="2:20" ht="15" customHeight="1" x14ac:dyDescent="0.25">
      <c r="B43" s="11"/>
      <c r="C43" s="153"/>
      <c r="D43" s="153"/>
      <c r="E43" s="153"/>
      <c r="R43" s="51"/>
      <c r="S43" s="51"/>
      <c r="T43" s="51"/>
    </row>
    <row r="44" spans="2:20" x14ac:dyDescent="0.25">
      <c r="B44" s="12"/>
      <c r="C44" s="13"/>
      <c r="D44" s="13"/>
      <c r="E44" s="41"/>
      <c r="F44" s="15"/>
      <c r="G44" s="15"/>
      <c r="H44" s="15"/>
      <c r="I44" s="15"/>
      <c r="J44" s="15"/>
      <c r="K44" s="15"/>
      <c r="L44" s="16"/>
      <c r="M44" s="20"/>
      <c r="N44" s="18"/>
      <c r="O44" s="18"/>
      <c r="P44" s="18"/>
    </row>
    <row r="45" spans="2:20" x14ac:dyDescent="0.25">
      <c r="B45" s="12"/>
      <c r="C45" s="13"/>
      <c r="D45" s="13"/>
      <c r="E45" s="41"/>
      <c r="F45" s="15"/>
      <c r="G45" s="15"/>
      <c r="H45" s="15"/>
      <c r="I45" s="15"/>
      <c r="J45" s="15"/>
      <c r="K45" s="15"/>
      <c r="L45" s="16"/>
      <c r="M45" s="20"/>
      <c r="N45" s="18"/>
      <c r="O45" s="18"/>
      <c r="P45" s="18"/>
    </row>
    <row r="46" spans="2:20" x14ac:dyDescent="0.25">
      <c r="B46" s="12"/>
      <c r="C46" s="13"/>
      <c r="D46" s="13"/>
      <c r="E46" s="41"/>
      <c r="F46" s="15"/>
      <c r="G46" s="15"/>
      <c r="H46" s="15"/>
      <c r="I46" s="15"/>
      <c r="J46" s="15"/>
      <c r="K46" s="15"/>
      <c r="L46" s="16"/>
      <c r="M46" s="20"/>
      <c r="N46" s="18"/>
      <c r="O46" s="18"/>
      <c r="P46" s="18"/>
    </row>
    <row r="47" spans="2:20" x14ac:dyDescent="0.25">
      <c r="B47" s="12"/>
      <c r="C47" s="13"/>
      <c r="D47" s="13"/>
      <c r="E47" s="41"/>
      <c r="F47" s="15"/>
      <c r="G47" s="15"/>
      <c r="H47" s="15"/>
      <c r="I47" s="15"/>
      <c r="J47" s="15"/>
      <c r="K47" s="15"/>
      <c r="L47" s="16"/>
      <c r="M47" s="20"/>
      <c r="N47" s="18"/>
      <c r="O47" s="18"/>
      <c r="P47" s="18"/>
    </row>
    <row r="50" spans="17:19" x14ac:dyDescent="0.25">
      <c r="Q50" s="325" t="s">
        <v>343</v>
      </c>
      <c r="R50" s="325"/>
      <c r="S50" s="327">
        <f>S17</f>
        <v>297386.02</v>
      </c>
    </row>
  </sheetData>
  <mergeCells count="7">
    <mergeCell ref="B25:F25"/>
    <mergeCell ref="Q1:S1"/>
    <mergeCell ref="Q2:S2"/>
    <mergeCell ref="B8:B9"/>
    <mergeCell ref="B20:F20"/>
    <mergeCell ref="B22:F22"/>
    <mergeCell ref="B24:F24"/>
  </mergeCells>
  <hyperlinks>
    <hyperlink ref="B25" r:id="rId1"/>
  </hyperlinks>
  <printOptions horizontalCentered="1" gridLines="1"/>
  <pageMargins left="0" right="0" top="0.75" bottom="0.75" header="0.3" footer="0.3"/>
  <pageSetup scale="49" orientation="landscape" horizontalDpi="1200" verticalDpi="1200"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8"/>
  <sheetViews>
    <sheetView topLeftCell="C17" zoomScale="90" zoomScaleNormal="90" workbookViewId="0">
      <selection activeCell="L43" sqref="L43"/>
    </sheetView>
  </sheetViews>
  <sheetFormatPr defaultColWidth="9.140625" defaultRowHeight="15" x14ac:dyDescent="0.25"/>
  <cols>
    <col min="1" max="1" width="9.140625" style="2" hidden="1" customWidth="1"/>
    <col min="2" max="2" width="59.28515625" style="2" customWidth="1"/>
    <col min="3" max="3" width="24.42578125" style="2" bestFit="1" customWidth="1"/>
    <col min="4" max="4" width="13.7109375" style="2" customWidth="1"/>
    <col min="5" max="5" width="17" style="2" customWidth="1"/>
    <col min="6" max="6" width="22.5703125" style="2" customWidth="1"/>
    <col min="7" max="7" width="11" style="2" customWidth="1"/>
    <col min="8" max="8" width="13.85546875" style="2" customWidth="1"/>
    <col min="9" max="9" width="13.42578125" style="2" customWidth="1"/>
    <col min="10" max="10" width="15.42578125" style="2" customWidth="1"/>
    <col min="11" max="11" width="9" style="2" customWidth="1"/>
    <col min="12" max="12" width="22.57031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5.140625" style="2" customWidth="1"/>
    <col min="20" max="16384" width="9.140625" style="2"/>
  </cols>
  <sheetData>
    <row r="1" spans="1:20" ht="15.6" customHeight="1" x14ac:dyDescent="0.25">
      <c r="A1" s="2" t="s">
        <v>342</v>
      </c>
      <c r="B1" s="1" t="s">
        <v>83</v>
      </c>
      <c r="Q1" s="335" t="s">
        <v>230</v>
      </c>
      <c r="R1" s="335"/>
      <c r="S1" s="335"/>
    </row>
    <row r="2" spans="1:20" ht="13.9" customHeight="1" x14ac:dyDescent="0.25">
      <c r="B2" s="90" t="s">
        <v>148</v>
      </c>
      <c r="C2" s="187">
        <v>44377</v>
      </c>
      <c r="M2" s="73"/>
      <c r="N2" s="73"/>
      <c r="P2" s="29"/>
      <c r="Q2" s="334" t="s">
        <v>338</v>
      </c>
      <c r="R2" s="334"/>
      <c r="S2" s="334"/>
    </row>
    <row r="3" spans="1:20" ht="15.75" thickBot="1" x14ac:dyDescent="0.3">
      <c r="A3" s="2" t="s">
        <v>16</v>
      </c>
      <c r="B3" s="44" t="s">
        <v>84</v>
      </c>
      <c r="C3" s="8"/>
      <c r="D3" s="8"/>
      <c r="E3" s="8"/>
      <c r="P3" s="29"/>
      <c r="Q3" s="45"/>
      <c r="R3" s="30"/>
    </row>
    <row r="4" spans="1:20" x14ac:dyDescent="0.25">
      <c r="B4" s="8" t="s">
        <v>174</v>
      </c>
      <c r="M4" s="87" t="s">
        <v>28</v>
      </c>
      <c r="N4" s="87" t="s">
        <v>28</v>
      </c>
      <c r="O4" s="87" t="s">
        <v>28</v>
      </c>
      <c r="P4" s="9"/>
      <c r="Q4" s="91" t="s">
        <v>29</v>
      </c>
      <c r="R4" s="91" t="s">
        <v>31</v>
      </c>
      <c r="S4" s="91" t="s">
        <v>23</v>
      </c>
      <c r="T4" s="7"/>
    </row>
    <row r="5" spans="1:20" ht="15.75" thickBot="1" x14ac:dyDescent="0.3">
      <c r="G5" s="188" t="s">
        <v>231</v>
      </c>
      <c r="H5" s="188" t="s">
        <v>231</v>
      </c>
      <c r="M5" s="88" t="s">
        <v>27</v>
      </c>
      <c r="N5" s="88" t="s">
        <v>26</v>
      </c>
      <c r="O5" s="88" t="s">
        <v>25</v>
      </c>
      <c r="P5" s="9"/>
      <c r="Q5" s="92" t="s">
        <v>30</v>
      </c>
      <c r="R5" s="92" t="s">
        <v>30</v>
      </c>
      <c r="S5" s="92" t="s">
        <v>30</v>
      </c>
      <c r="T5" s="7"/>
    </row>
    <row r="6" spans="1:20" ht="85.5" customHeight="1" thickBot="1" x14ac:dyDescent="0.3">
      <c r="B6" s="86" t="s">
        <v>1</v>
      </c>
      <c r="C6" s="86" t="s">
        <v>127</v>
      </c>
      <c r="D6" s="86" t="s">
        <v>107</v>
      </c>
      <c r="E6" s="86" t="s">
        <v>3</v>
      </c>
      <c r="F6" s="86" t="s">
        <v>4</v>
      </c>
      <c r="G6" s="110" t="s">
        <v>136</v>
      </c>
      <c r="H6" s="110" t="s">
        <v>137</v>
      </c>
      <c r="I6" s="110" t="s">
        <v>133</v>
      </c>
      <c r="J6" s="110" t="s">
        <v>134</v>
      </c>
      <c r="K6" s="110" t="s">
        <v>121</v>
      </c>
      <c r="L6" s="85" t="s">
        <v>5</v>
      </c>
      <c r="M6" s="89" t="s">
        <v>6</v>
      </c>
      <c r="N6" s="89" t="s">
        <v>6</v>
      </c>
      <c r="O6" s="89" t="s">
        <v>6</v>
      </c>
      <c r="P6" s="9"/>
      <c r="Q6" s="93"/>
      <c r="R6" s="99" t="s">
        <v>32</v>
      </c>
      <c r="S6" s="100" t="s">
        <v>33</v>
      </c>
    </row>
    <row r="7" spans="1:20" ht="40.5" customHeight="1" x14ac:dyDescent="0.25">
      <c r="B7" s="2" t="s">
        <v>128</v>
      </c>
      <c r="C7" s="243" t="s">
        <v>122</v>
      </c>
      <c r="D7" s="95" t="s">
        <v>248</v>
      </c>
      <c r="E7" s="2" t="s">
        <v>233</v>
      </c>
      <c r="F7" s="2" t="s">
        <v>7</v>
      </c>
      <c r="G7" s="191">
        <v>2.9600000000000001E-2</v>
      </c>
      <c r="H7" s="191">
        <v>0.1744</v>
      </c>
      <c r="I7" s="192">
        <v>44377</v>
      </c>
      <c r="J7" s="192">
        <v>44378</v>
      </c>
      <c r="K7" s="192">
        <v>44013</v>
      </c>
      <c r="L7" s="193" t="s">
        <v>234</v>
      </c>
      <c r="M7" s="69">
        <v>3737.07</v>
      </c>
      <c r="N7" s="69"/>
      <c r="O7" s="69">
        <f>M7+N7</f>
        <v>3737.07</v>
      </c>
      <c r="P7" s="29"/>
      <c r="Q7" s="69">
        <v>3737.07</v>
      </c>
      <c r="R7" s="69"/>
      <c r="S7" s="70">
        <f>SUM(Q7:R7)</f>
        <v>3737.07</v>
      </c>
    </row>
    <row r="8" spans="1:20" ht="38.25" customHeight="1" x14ac:dyDescent="0.25">
      <c r="B8" s="2" t="s">
        <v>241</v>
      </c>
      <c r="C8" s="243" t="s">
        <v>242</v>
      </c>
      <c r="D8" s="95" t="s">
        <v>243</v>
      </c>
      <c r="E8" s="2" t="s">
        <v>244</v>
      </c>
      <c r="F8" s="2" t="s">
        <v>7</v>
      </c>
      <c r="G8" s="191">
        <v>2.9600000000000001E-2</v>
      </c>
      <c r="H8" s="191">
        <v>0.1744</v>
      </c>
      <c r="I8" s="192">
        <v>44834</v>
      </c>
      <c r="J8" s="192">
        <v>44849</v>
      </c>
      <c r="K8" s="192">
        <v>43614</v>
      </c>
      <c r="L8" s="193" t="s">
        <v>311</v>
      </c>
      <c r="M8" s="69">
        <v>12653.6</v>
      </c>
      <c r="N8" s="69"/>
      <c r="O8" s="257">
        <f>M8+N13</f>
        <v>12653.6</v>
      </c>
      <c r="P8" s="29"/>
      <c r="Q8" s="69"/>
      <c r="R8" s="69"/>
      <c r="S8" s="259">
        <f>Q8+R13</f>
        <v>0</v>
      </c>
    </row>
    <row r="9" spans="1:20" ht="38.25" customHeight="1" x14ac:dyDescent="0.25">
      <c r="B9" s="2" t="s">
        <v>283</v>
      </c>
      <c r="C9" s="243" t="s">
        <v>264</v>
      </c>
      <c r="D9" s="95" t="s">
        <v>254</v>
      </c>
      <c r="E9" s="2" t="s">
        <v>284</v>
      </c>
      <c r="F9" s="2" t="s">
        <v>7</v>
      </c>
      <c r="G9" s="191">
        <f t="shared" ref="G9:H9" si="0">+G8</f>
        <v>2.9600000000000001E-2</v>
      </c>
      <c r="H9" s="191">
        <f t="shared" si="0"/>
        <v>0.1744</v>
      </c>
      <c r="I9" s="192">
        <v>44377</v>
      </c>
      <c r="J9" s="192">
        <v>44392</v>
      </c>
      <c r="K9" s="192">
        <v>43613</v>
      </c>
      <c r="L9" s="193" t="s">
        <v>234</v>
      </c>
      <c r="M9" s="81">
        <v>7302.48</v>
      </c>
      <c r="N9" s="69"/>
      <c r="O9" s="69">
        <f>M9+N9</f>
        <v>7302.48</v>
      </c>
      <c r="P9" s="69"/>
      <c r="Q9" s="69"/>
      <c r="R9" s="69"/>
      <c r="S9" s="70">
        <f>Q9+R9</f>
        <v>0</v>
      </c>
    </row>
    <row r="10" spans="1:20" ht="38.25" customHeight="1" x14ac:dyDescent="0.25">
      <c r="B10" s="2" t="s">
        <v>318</v>
      </c>
      <c r="C10" s="243" t="s">
        <v>242</v>
      </c>
      <c r="D10" s="95" t="s">
        <v>243</v>
      </c>
      <c r="E10" s="2" t="s">
        <v>319</v>
      </c>
      <c r="F10" s="2" t="s">
        <v>7</v>
      </c>
      <c r="G10" s="191">
        <v>2.9600000000000001E-2</v>
      </c>
      <c r="H10" s="191">
        <v>0.1744</v>
      </c>
      <c r="I10" s="192">
        <v>44561</v>
      </c>
      <c r="J10" s="192">
        <v>44576</v>
      </c>
      <c r="K10" s="192">
        <v>43980</v>
      </c>
      <c r="L10" s="193" t="s">
        <v>320</v>
      </c>
      <c r="M10" s="81">
        <v>3000</v>
      </c>
      <c r="N10" s="69"/>
      <c r="O10" s="69">
        <f t="shared" ref="O10:O12" si="1">M10+N10</f>
        <v>3000</v>
      </c>
      <c r="P10" s="68"/>
      <c r="Q10" s="69"/>
      <c r="R10" s="69"/>
      <c r="S10" s="70">
        <f t="shared" ref="S10:S12" si="2">Q10+R10</f>
        <v>0</v>
      </c>
    </row>
    <row r="11" spans="1:20" ht="38.25" customHeight="1" x14ac:dyDescent="0.25">
      <c r="B11" s="2" t="s">
        <v>321</v>
      </c>
      <c r="C11" s="243" t="s">
        <v>264</v>
      </c>
      <c r="D11" s="95" t="s">
        <v>254</v>
      </c>
      <c r="E11" s="2" t="s">
        <v>322</v>
      </c>
      <c r="F11" s="2" t="s">
        <v>7</v>
      </c>
      <c r="G11" s="191">
        <v>2.9600000000000001E-2</v>
      </c>
      <c r="H11" s="191">
        <v>0.1744</v>
      </c>
      <c r="I11" s="192">
        <v>44742</v>
      </c>
      <c r="J11" s="192">
        <v>44757</v>
      </c>
      <c r="K11" s="192">
        <v>43979</v>
      </c>
      <c r="L11" s="193" t="s">
        <v>323</v>
      </c>
      <c r="M11" s="81">
        <v>1027</v>
      </c>
      <c r="N11" s="69"/>
      <c r="O11" s="69">
        <f t="shared" si="1"/>
        <v>1027</v>
      </c>
      <c r="P11" s="68"/>
      <c r="Q11" s="69"/>
      <c r="R11" s="69"/>
      <c r="S11" s="70">
        <f t="shared" si="2"/>
        <v>0</v>
      </c>
    </row>
    <row r="12" spans="1:20" ht="38.25" customHeight="1" x14ac:dyDescent="0.25">
      <c r="B12" s="2" t="s">
        <v>327</v>
      </c>
      <c r="C12" s="243" t="s">
        <v>242</v>
      </c>
      <c r="D12" s="95" t="s">
        <v>328</v>
      </c>
      <c r="E12" s="2" t="s">
        <v>329</v>
      </c>
      <c r="F12" s="2" t="s">
        <v>7</v>
      </c>
      <c r="G12" s="191">
        <v>2.9600000000000001E-2</v>
      </c>
      <c r="H12" s="191">
        <v>0.1744</v>
      </c>
      <c r="I12" s="192">
        <v>44440</v>
      </c>
      <c r="J12" s="192">
        <v>44440</v>
      </c>
      <c r="K12" s="192">
        <v>44201</v>
      </c>
      <c r="L12" s="193" t="s">
        <v>330</v>
      </c>
      <c r="M12" s="81">
        <v>34595.35</v>
      </c>
      <c r="N12" s="69"/>
      <c r="O12" s="69">
        <f t="shared" si="1"/>
        <v>34595.35</v>
      </c>
      <c r="P12" s="68"/>
      <c r="Q12" s="69">
        <v>12936.37</v>
      </c>
      <c r="R12" s="69"/>
      <c r="S12" s="70">
        <f t="shared" si="2"/>
        <v>12936.37</v>
      </c>
    </row>
    <row r="13" spans="1:20" x14ac:dyDescent="0.25">
      <c r="G13" s="191"/>
      <c r="H13" s="191"/>
      <c r="I13" s="192"/>
      <c r="J13" s="192"/>
      <c r="K13" s="192"/>
      <c r="L13" s="193"/>
      <c r="M13" s="25"/>
      <c r="N13" s="25"/>
      <c r="O13" s="25"/>
      <c r="P13" s="29"/>
      <c r="Q13" s="25"/>
      <c r="R13" s="25"/>
      <c r="S13" s="26"/>
    </row>
    <row r="14" spans="1:20" ht="23.25" customHeight="1" x14ac:dyDescent="0.25">
      <c r="C14" s="94"/>
      <c r="D14" s="94"/>
      <c r="G14" s="126"/>
      <c r="H14" s="127"/>
      <c r="I14" s="119"/>
      <c r="J14" s="119"/>
      <c r="K14" s="119"/>
      <c r="L14" s="5" t="s">
        <v>38</v>
      </c>
      <c r="M14" s="68">
        <f>SUM(M7:M13)</f>
        <v>62315.5</v>
      </c>
      <c r="N14" s="68">
        <f>SUM(N7:N13)</f>
        <v>0</v>
      </c>
      <c r="O14" s="68">
        <f>SUM(O7:O13)</f>
        <v>62315.5</v>
      </c>
      <c r="Q14" s="68">
        <f>SUM(Q7:Q13)</f>
        <v>16673.440000000002</v>
      </c>
      <c r="R14" s="68">
        <f>SUM(R7:R13)</f>
        <v>0</v>
      </c>
      <c r="S14" s="70">
        <f>SUM(S7:S13)</f>
        <v>16673.440000000002</v>
      </c>
    </row>
    <row r="15" spans="1:20" x14ac:dyDescent="0.25">
      <c r="C15" s="94"/>
      <c r="D15" s="94"/>
      <c r="I15" s="119"/>
      <c r="J15" s="119"/>
      <c r="K15" s="119"/>
      <c r="L15" s="5"/>
      <c r="M15" s="68"/>
      <c r="N15" s="68"/>
      <c r="O15" s="68"/>
      <c r="Q15" s="68"/>
      <c r="R15" s="68"/>
      <c r="S15" s="70"/>
    </row>
    <row r="16" spans="1:20" x14ac:dyDescent="0.25">
      <c r="C16" s="94"/>
      <c r="D16" s="94"/>
      <c r="L16" s="5"/>
      <c r="M16" s="68"/>
      <c r="N16" s="68"/>
      <c r="O16" s="68"/>
      <c r="Q16" s="68"/>
      <c r="R16" s="68"/>
      <c r="S16" s="70"/>
    </row>
    <row r="17" spans="2:19" x14ac:dyDescent="0.25">
      <c r="B17" s="8" t="s">
        <v>125</v>
      </c>
      <c r="C17" s="94"/>
      <c r="D17" s="94"/>
      <c r="L17" s="5"/>
      <c r="M17" s="68"/>
      <c r="N17" s="68"/>
      <c r="O17" s="68"/>
      <c r="Q17" s="68"/>
      <c r="R17" s="68"/>
      <c r="S17" s="70"/>
    </row>
    <row r="18" spans="2:19" ht="34.5" customHeight="1" x14ac:dyDescent="0.25">
      <c r="B18" s="338" t="s">
        <v>126</v>
      </c>
      <c r="C18" s="338"/>
      <c r="D18" s="338"/>
      <c r="E18" s="338"/>
      <c r="F18" s="338"/>
      <c r="L18" s="5"/>
      <c r="M18" s="68"/>
      <c r="N18" s="68"/>
      <c r="O18" s="68"/>
      <c r="Q18" s="68"/>
      <c r="R18" s="68"/>
      <c r="S18" s="70"/>
    </row>
    <row r="19" spans="2:19" x14ac:dyDescent="0.25">
      <c r="C19" s="94"/>
      <c r="D19" s="94"/>
      <c r="L19" s="5"/>
      <c r="M19" s="68"/>
      <c r="N19" s="68"/>
      <c r="O19" s="68"/>
      <c r="Q19" s="68"/>
      <c r="R19" s="68"/>
      <c r="S19" s="70"/>
    </row>
    <row r="20" spans="2:19" ht="60" customHeight="1" x14ac:dyDescent="0.25">
      <c r="B20" s="338" t="s">
        <v>129</v>
      </c>
      <c r="C20" s="338"/>
      <c r="D20" s="338"/>
      <c r="E20" s="338"/>
      <c r="F20" s="338"/>
      <c r="L20" s="5"/>
      <c r="M20" s="68"/>
      <c r="N20" s="68"/>
      <c r="O20" s="68"/>
      <c r="Q20" s="68"/>
      <c r="R20" s="68"/>
      <c r="S20" s="70"/>
    </row>
    <row r="21" spans="2:19" x14ac:dyDescent="0.25">
      <c r="B21" s="198"/>
      <c r="C21" s="198"/>
      <c r="D21" s="198"/>
      <c r="E21" s="198"/>
      <c r="F21" s="198"/>
      <c r="L21" s="5"/>
      <c r="M21" s="68"/>
      <c r="N21" s="68"/>
      <c r="O21" s="68"/>
      <c r="Q21" s="68"/>
      <c r="R21" s="68"/>
      <c r="S21" s="70"/>
    </row>
    <row r="22" spans="2:19" ht="36" customHeight="1" x14ac:dyDescent="0.25">
      <c r="B22" s="338" t="s">
        <v>160</v>
      </c>
      <c r="C22" s="338"/>
      <c r="D22" s="338"/>
      <c r="E22" s="338"/>
      <c r="F22" s="338"/>
      <c r="L22" s="5"/>
      <c r="M22" s="68"/>
      <c r="N22" s="68"/>
      <c r="O22" s="68"/>
      <c r="Q22" s="68"/>
      <c r="R22" s="68"/>
      <c r="S22" s="70"/>
    </row>
    <row r="23" spans="2:19" ht="15" customHeight="1" x14ac:dyDescent="0.25">
      <c r="B23" s="346" t="s">
        <v>159</v>
      </c>
      <c r="C23" s="338"/>
      <c r="D23" s="338"/>
      <c r="E23" s="338"/>
      <c r="F23" s="338"/>
      <c r="L23" s="5"/>
      <c r="M23" s="68"/>
      <c r="N23" s="68"/>
      <c r="O23" s="68"/>
      <c r="Q23" s="68"/>
      <c r="R23" s="68"/>
      <c r="S23" s="70"/>
    </row>
    <row r="24" spans="2:19" ht="15" customHeight="1" x14ac:dyDescent="0.25">
      <c r="B24" s="200"/>
      <c r="C24" s="200"/>
      <c r="D24" s="200"/>
      <c r="E24" s="200"/>
      <c r="L24" s="5"/>
      <c r="M24" s="68"/>
      <c r="N24" s="68"/>
      <c r="O24" s="68"/>
      <c r="Q24" s="68"/>
      <c r="R24" s="68"/>
      <c r="S24" s="70"/>
    </row>
    <row r="25" spans="2:19" x14ac:dyDescent="0.25">
      <c r="B25" s="111"/>
      <c r="C25" s="111"/>
      <c r="D25" s="111"/>
      <c r="E25" s="111"/>
      <c r="L25" s="5"/>
      <c r="M25" s="68"/>
      <c r="N25" s="68"/>
      <c r="O25" s="68"/>
      <c r="Q25" s="68"/>
      <c r="R25" s="68"/>
      <c r="S25" s="70"/>
    </row>
    <row r="26" spans="2:19" x14ac:dyDescent="0.25">
      <c r="B26" s="7" t="s">
        <v>109</v>
      </c>
      <c r="C26" s="104" t="s">
        <v>112</v>
      </c>
      <c r="D26" s="104" t="s">
        <v>113</v>
      </c>
      <c r="E26" s="111"/>
      <c r="L26" s="5"/>
      <c r="M26" s="68"/>
      <c r="N26" s="68"/>
      <c r="O26" s="68"/>
      <c r="Q26" s="68"/>
      <c r="R26" s="68"/>
      <c r="S26" s="70"/>
    </row>
    <row r="27" spans="2:19" x14ac:dyDescent="0.25">
      <c r="B27" s="106" t="s">
        <v>111</v>
      </c>
      <c r="C27" s="94" t="s">
        <v>114</v>
      </c>
      <c r="D27" s="94" t="s">
        <v>119</v>
      </c>
      <c r="L27" s="5"/>
      <c r="M27" s="68"/>
      <c r="N27" s="68"/>
      <c r="O27" s="68"/>
      <c r="Q27" s="68"/>
      <c r="R27" s="68"/>
      <c r="S27" s="70"/>
    </row>
    <row r="28" spans="2:19" x14ac:dyDescent="0.25">
      <c r="B28" s="2" t="s">
        <v>252</v>
      </c>
      <c r="C28" s="94" t="s">
        <v>135</v>
      </c>
      <c r="D28" s="94" t="s">
        <v>147</v>
      </c>
      <c r="L28" s="5"/>
      <c r="M28" s="68"/>
      <c r="N28" s="68"/>
      <c r="O28" s="68"/>
      <c r="Q28" s="68"/>
      <c r="R28" s="68"/>
      <c r="S28" s="70"/>
    </row>
    <row r="29" spans="2:19" x14ac:dyDescent="0.25">
      <c r="B29" s="2" t="s">
        <v>260</v>
      </c>
      <c r="C29" s="94" t="s">
        <v>135</v>
      </c>
      <c r="D29" s="94" t="s">
        <v>147</v>
      </c>
      <c r="L29" s="5"/>
      <c r="M29" s="68"/>
      <c r="N29" s="68"/>
      <c r="O29" s="68"/>
      <c r="Q29" s="68"/>
      <c r="R29" s="68"/>
      <c r="S29" s="70"/>
    </row>
    <row r="30" spans="2:19" x14ac:dyDescent="0.25">
      <c r="B30" s="2" t="s">
        <v>318</v>
      </c>
      <c r="C30" s="94" t="s">
        <v>135</v>
      </c>
      <c r="D30" s="94" t="s">
        <v>147</v>
      </c>
      <c r="L30" s="5"/>
      <c r="M30" s="68"/>
      <c r="N30" s="68"/>
      <c r="O30" s="68"/>
      <c r="Q30" s="68"/>
      <c r="R30" s="68"/>
      <c r="S30" s="70"/>
    </row>
    <row r="31" spans="2:19" x14ac:dyDescent="0.25">
      <c r="B31" s="2" t="s">
        <v>321</v>
      </c>
      <c r="C31" s="94" t="s">
        <v>135</v>
      </c>
      <c r="D31" s="94" t="s">
        <v>147</v>
      </c>
      <c r="L31" s="5"/>
      <c r="M31" s="68"/>
      <c r="N31" s="68"/>
      <c r="O31" s="68"/>
      <c r="Q31" s="68"/>
      <c r="R31" s="68"/>
      <c r="S31" s="70"/>
    </row>
    <row r="32" spans="2:19" x14ac:dyDescent="0.25">
      <c r="B32" s="2" t="s">
        <v>326</v>
      </c>
      <c r="C32" s="94" t="s">
        <v>135</v>
      </c>
      <c r="D32" s="94" t="s">
        <v>147</v>
      </c>
      <c r="L32" s="5"/>
      <c r="M32" s="68"/>
      <c r="N32" s="68"/>
      <c r="O32" s="68"/>
      <c r="Q32" s="68"/>
      <c r="R32" s="68"/>
      <c r="S32" s="70"/>
    </row>
    <row r="33" spans="2:20" x14ac:dyDescent="0.25">
      <c r="C33" s="94"/>
      <c r="D33" s="94"/>
      <c r="L33" s="5"/>
      <c r="M33" s="68"/>
      <c r="N33" s="68"/>
      <c r="O33" s="68"/>
      <c r="Q33" s="68"/>
      <c r="R33" s="68"/>
      <c r="S33" s="70"/>
    </row>
    <row r="34" spans="2:20" x14ac:dyDescent="0.25">
      <c r="B34" s="281" t="s">
        <v>235</v>
      </c>
      <c r="C34" s="94"/>
      <c r="D34" s="94"/>
      <c r="H34" s="272"/>
      <c r="L34" s="5"/>
      <c r="M34" s="68"/>
      <c r="N34" s="68"/>
      <c r="O34" s="68"/>
      <c r="Q34" s="68"/>
      <c r="R34" s="68"/>
      <c r="S34" s="70"/>
    </row>
    <row r="35" spans="2:20" x14ac:dyDescent="0.25">
      <c r="B35" s="278" t="s">
        <v>236</v>
      </c>
      <c r="C35" s="94"/>
      <c r="D35" s="94"/>
      <c r="L35" s="5"/>
      <c r="M35" s="68"/>
      <c r="N35" s="68"/>
      <c r="O35" s="68"/>
      <c r="Q35" s="68"/>
      <c r="R35" s="68"/>
      <c r="S35" s="70"/>
    </row>
    <row r="36" spans="2:20" x14ac:dyDescent="0.25">
      <c r="B36" s="225"/>
      <c r="C36" s="223"/>
      <c r="D36" s="223"/>
      <c r="E36" s="10"/>
      <c r="F36" s="10"/>
      <c r="G36" s="10"/>
      <c r="H36" s="10"/>
      <c r="I36" s="10"/>
      <c r="J36" s="10"/>
      <c r="K36" s="10"/>
      <c r="L36" s="224"/>
      <c r="M36" s="25"/>
      <c r="N36" s="25"/>
      <c r="O36" s="25"/>
      <c r="P36" s="10"/>
      <c r="Q36" s="25"/>
      <c r="R36" s="25"/>
      <c r="S36" s="26"/>
    </row>
    <row r="37" spans="2:20" x14ac:dyDescent="0.25">
      <c r="Q37" s="59" t="s">
        <v>90</v>
      </c>
      <c r="R37" s="50"/>
      <c r="S37" s="170"/>
    </row>
    <row r="38" spans="2:20" x14ac:dyDescent="0.25">
      <c r="B38" s="17" t="s">
        <v>39</v>
      </c>
      <c r="C38" s="98" t="s">
        <v>2</v>
      </c>
      <c r="D38" s="98"/>
      <c r="E38" s="98" t="s">
        <v>34</v>
      </c>
      <c r="F38" s="98" t="s">
        <v>35</v>
      </c>
      <c r="G38" s="123"/>
      <c r="H38" s="123"/>
      <c r="I38" s="117"/>
      <c r="J38" s="98"/>
      <c r="K38" s="98"/>
      <c r="L38" s="98" t="s">
        <v>36</v>
      </c>
      <c r="M38" s="216" t="s">
        <v>37</v>
      </c>
      <c r="N38" s="47"/>
      <c r="O38" s="47"/>
      <c r="P38" s="47"/>
      <c r="Q38" s="54" t="s">
        <v>88</v>
      </c>
      <c r="R38" s="52"/>
      <c r="S38" s="53"/>
      <c r="T38" s="51"/>
    </row>
    <row r="39" spans="2:20" x14ac:dyDescent="0.25">
      <c r="B39" s="65"/>
      <c r="C39" s="9"/>
      <c r="D39" s="9"/>
      <c r="E39" s="9"/>
      <c r="F39" s="9"/>
      <c r="G39" s="9"/>
      <c r="H39" s="9"/>
      <c r="I39" s="9"/>
      <c r="J39" s="9"/>
      <c r="K39" s="9"/>
      <c r="L39" s="9"/>
      <c r="M39" s="9"/>
      <c r="N39" s="45"/>
      <c r="O39" s="45"/>
      <c r="P39" s="45"/>
      <c r="Q39" s="59"/>
      <c r="R39" s="50"/>
      <c r="S39" s="50"/>
      <c r="T39" s="51"/>
    </row>
    <row r="40" spans="2:20" x14ac:dyDescent="0.25">
      <c r="B40" s="65"/>
      <c r="C40" s="9"/>
      <c r="D40" s="9"/>
      <c r="E40" s="9"/>
      <c r="F40" s="9"/>
      <c r="G40" s="9"/>
      <c r="H40" s="9"/>
      <c r="I40" s="9"/>
      <c r="J40" s="9"/>
      <c r="K40" s="9"/>
      <c r="L40" s="9"/>
      <c r="M40" s="9"/>
      <c r="N40" s="45"/>
      <c r="O40" s="45"/>
      <c r="P40" s="45"/>
      <c r="R40" s="51"/>
      <c r="S40" s="51"/>
      <c r="T40" s="51"/>
    </row>
    <row r="41" spans="2:20" x14ac:dyDescent="0.25">
      <c r="B41" s="12"/>
      <c r="C41" s="13"/>
      <c r="D41" s="13"/>
      <c r="E41" s="41"/>
      <c r="F41" s="15"/>
      <c r="G41" s="15"/>
      <c r="H41" s="15"/>
      <c r="I41" s="15"/>
      <c r="J41" s="15"/>
      <c r="K41" s="15"/>
      <c r="L41" s="16"/>
      <c r="M41" s="20"/>
      <c r="N41" s="18"/>
      <c r="O41" s="18"/>
      <c r="P41" s="18"/>
      <c r="T41" s="51"/>
    </row>
    <row r="42" spans="2:20" ht="15" customHeight="1" x14ac:dyDescent="0.25">
      <c r="B42" s="12"/>
      <c r="C42" s="13"/>
      <c r="D42" s="13"/>
      <c r="E42" s="41"/>
      <c r="F42" s="15"/>
      <c r="G42" s="15"/>
      <c r="H42" s="15"/>
      <c r="I42" s="15"/>
      <c r="J42" s="15"/>
      <c r="K42" s="15"/>
      <c r="L42" s="16"/>
      <c r="M42" s="20"/>
      <c r="N42" s="18"/>
      <c r="O42" s="18"/>
      <c r="P42" s="18"/>
    </row>
    <row r="43" spans="2:20" ht="15" customHeight="1" x14ac:dyDescent="0.25">
      <c r="B43" s="12"/>
      <c r="C43" s="13"/>
      <c r="D43" s="13"/>
      <c r="E43" s="41"/>
      <c r="F43" s="15"/>
      <c r="G43" s="15"/>
      <c r="H43" s="15"/>
      <c r="I43" s="15"/>
      <c r="J43" s="15"/>
      <c r="K43" s="15"/>
      <c r="L43" s="16"/>
      <c r="M43" s="20"/>
      <c r="N43" s="18"/>
      <c r="O43" s="18"/>
      <c r="P43" s="18"/>
    </row>
    <row r="44" spans="2:20" ht="15" customHeight="1" x14ac:dyDescent="0.25">
      <c r="B44" s="12"/>
      <c r="C44" s="13"/>
      <c r="D44" s="13"/>
      <c r="E44" s="41"/>
      <c r="F44" s="15"/>
      <c r="G44" s="15"/>
      <c r="H44" s="15"/>
      <c r="I44" s="15"/>
      <c r="J44" s="15"/>
      <c r="K44" s="15"/>
      <c r="L44" s="16"/>
      <c r="M44" s="20"/>
      <c r="N44" s="18"/>
      <c r="O44" s="18"/>
      <c r="P44" s="18"/>
    </row>
    <row r="45" spans="2:20" ht="15" customHeight="1" x14ac:dyDescent="0.25">
      <c r="B45" s="12"/>
      <c r="C45" s="13"/>
      <c r="D45" s="13"/>
      <c r="E45" s="41"/>
      <c r="F45" s="15"/>
      <c r="G45" s="15"/>
      <c r="H45" s="15"/>
      <c r="I45" s="15"/>
      <c r="J45" s="15"/>
      <c r="K45" s="15"/>
      <c r="L45" s="16"/>
      <c r="M45" s="20"/>
      <c r="N45" s="18"/>
      <c r="O45" s="18"/>
      <c r="P45" s="18"/>
    </row>
    <row r="46" spans="2:20" x14ac:dyDescent="0.25">
      <c r="B46" s="36"/>
      <c r="C46" s="40"/>
      <c r="D46" s="40"/>
      <c r="E46" s="41"/>
      <c r="F46" s="38"/>
      <c r="G46" s="38"/>
      <c r="H46" s="38"/>
      <c r="I46" s="38"/>
      <c r="J46" s="38"/>
      <c r="K46" s="38"/>
      <c r="L46" s="39"/>
      <c r="M46" s="34"/>
      <c r="N46" s="107"/>
      <c r="O46" s="29"/>
      <c r="P46" s="29"/>
    </row>
    <row r="47" spans="2:20" x14ac:dyDescent="0.25">
      <c r="C47" s="40"/>
      <c r="D47" s="40"/>
      <c r="E47" s="41"/>
      <c r="F47" s="71"/>
      <c r="G47" s="71"/>
      <c r="H47" s="71"/>
      <c r="I47" s="71"/>
      <c r="J47" s="71"/>
      <c r="K47" s="71"/>
      <c r="L47" s="33"/>
      <c r="M47" s="31"/>
      <c r="N47" s="107"/>
    </row>
    <row r="48" spans="2:20" x14ac:dyDescent="0.25">
      <c r="C48" s="40"/>
      <c r="D48" s="40"/>
      <c r="E48" s="41"/>
      <c r="F48" s="71"/>
      <c r="G48" s="71"/>
      <c r="H48" s="71"/>
      <c r="I48" s="71"/>
      <c r="J48" s="71"/>
      <c r="K48" s="71"/>
      <c r="L48" s="33"/>
      <c r="M48" s="31"/>
      <c r="N48" s="108"/>
    </row>
    <row r="49" spans="2:19" x14ac:dyDescent="0.25">
      <c r="C49" s="40"/>
      <c r="D49" s="40"/>
      <c r="E49" s="41"/>
      <c r="F49" s="71"/>
      <c r="G49" s="71"/>
      <c r="H49" s="71"/>
      <c r="I49" s="71"/>
      <c r="J49" s="71"/>
      <c r="K49" s="71"/>
      <c r="L49" s="33"/>
      <c r="M49" s="35"/>
      <c r="N49" s="37"/>
      <c r="O49" s="37"/>
      <c r="P49" s="29"/>
    </row>
    <row r="50" spans="2:19" ht="15" customHeight="1" x14ac:dyDescent="0.25">
      <c r="B50" s="36"/>
      <c r="C50" s="40"/>
      <c r="D50" s="40"/>
      <c r="E50" s="41"/>
      <c r="F50" s="38"/>
      <c r="G50" s="38"/>
      <c r="H50" s="38"/>
      <c r="I50" s="38"/>
      <c r="J50" s="38"/>
      <c r="K50" s="38"/>
      <c r="L50" s="33"/>
      <c r="M50" s="31"/>
      <c r="N50" s="101"/>
      <c r="O50" s="101"/>
      <c r="P50" s="29"/>
      <c r="Q50" s="331" t="s">
        <v>343</v>
      </c>
      <c r="R50" s="331"/>
      <c r="S50" s="330">
        <f>S14</f>
        <v>16673.440000000002</v>
      </c>
    </row>
    <row r="51" spans="2:19" x14ac:dyDescent="0.25">
      <c r="B51" s="36"/>
      <c r="C51" s="40"/>
      <c r="D51" s="40"/>
      <c r="E51" s="41"/>
      <c r="F51" s="38"/>
      <c r="G51" s="38"/>
      <c r="H51" s="38"/>
      <c r="I51" s="38"/>
      <c r="J51" s="38"/>
      <c r="K51" s="38"/>
      <c r="L51" s="33"/>
      <c r="M51" s="31"/>
      <c r="N51" s="101"/>
      <c r="O51" s="101"/>
      <c r="P51" s="29"/>
      <c r="Q51" s="20"/>
      <c r="R51" s="20"/>
      <c r="S51" s="332"/>
    </row>
    <row r="52" spans="2:19" x14ac:dyDescent="0.25">
      <c r="B52" s="36"/>
      <c r="C52" s="40"/>
      <c r="D52" s="40"/>
      <c r="E52" s="41"/>
      <c r="F52" s="38"/>
      <c r="G52" s="38"/>
      <c r="H52" s="38"/>
      <c r="I52" s="38"/>
      <c r="J52" s="38"/>
      <c r="K52" s="38"/>
      <c r="L52" s="33"/>
      <c r="M52" s="31"/>
      <c r="N52" s="101"/>
      <c r="O52" s="101"/>
      <c r="P52" s="29"/>
    </row>
    <row r="53" spans="2:19" ht="16.5" customHeight="1" x14ac:dyDescent="0.25">
      <c r="B53" s="36"/>
      <c r="C53" s="40"/>
      <c r="D53" s="40"/>
      <c r="E53" s="41"/>
      <c r="F53" s="38"/>
      <c r="G53" s="38"/>
      <c r="H53" s="38"/>
      <c r="I53" s="38"/>
      <c r="J53" s="38"/>
      <c r="K53" s="38"/>
      <c r="L53" s="39"/>
      <c r="M53" s="20"/>
      <c r="N53" s="101"/>
      <c r="O53" s="101"/>
      <c r="P53" s="29"/>
    </row>
    <row r="54" spans="2:19" ht="15" hidden="1" customHeight="1" x14ac:dyDescent="0.25"/>
    <row r="55" spans="2:19" ht="15" customHeight="1" x14ac:dyDescent="0.25">
      <c r="E55" s="21"/>
      <c r="F55" s="105"/>
      <c r="G55" s="105"/>
      <c r="H55" s="105"/>
      <c r="I55" s="105"/>
      <c r="J55" s="105"/>
      <c r="K55" s="105"/>
    </row>
    <row r="58" spans="2:19" ht="15" customHeight="1" x14ac:dyDescent="0.25"/>
  </sheetData>
  <mergeCells count="6">
    <mergeCell ref="B23:F23"/>
    <mergeCell ref="Q1:S1"/>
    <mergeCell ref="Q2:S2"/>
    <mergeCell ref="B22:F22"/>
    <mergeCell ref="B18:F18"/>
    <mergeCell ref="B20:F20"/>
  </mergeCells>
  <hyperlinks>
    <hyperlink ref="B23" r:id="rId1"/>
  </hyperlinks>
  <printOptions horizontalCentered="1" gridLines="1"/>
  <pageMargins left="0" right="0" top="0.75" bottom="0.75" header="0.3" footer="0.3"/>
  <pageSetup scale="50" orientation="landscape" horizontalDpi="1200" verticalDpi="1200"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4"/>
  <sheetViews>
    <sheetView topLeftCell="D17" zoomScale="90" zoomScaleNormal="90" workbookViewId="0">
      <selection activeCell="S50" sqref="S50"/>
    </sheetView>
  </sheetViews>
  <sheetFormatPr defaultColWidth="9.140625" defaultRowHeight="15" x14ac:dyDescent="0.25"/>
  <cols>
    <col min="1" max="1" width="9.140625" style="2" hidden="1" customWidth="1"/>
    <col min="2" max="2" width="57.7109375" style="2" customWidth="1"/>
    <col min="3" max="3" width="26.7109375" style="2" customWidth="1"/>
    <col min="4" max="4" width="13.7109375" style="2" customWidth="1"/>
    <col min="5" max="5" width="17" style="2" customWidth="1"/>
    <col min="6" max="6" width="22.7109375" style="2" customWidth="1"/>
    <col min="7" max="7" width="10.28515625" style="2" customWidth="1"/>
    <col min="8" max="8" width="12.85546875" style="2" customWidth="1"/>
    <col min="9" max="9" width="13.42578125" style="2" customWidth="1"/>
    <col min="10" max="10" width="15.7109375" style="2" customWidth="1"/>
    <col min="11" max="11" width="8.85546875" style="2" customWidth="1"/>
    <col min="12" max="12" width="18.140625" style="2" customWidth="1"/>
    <col min="13" max="13" width="13.28515625" style="2" bestFit="1" customWidth="1"/>
    <col min="14" max="14" width="13.7109375" style="2" customWidth="1"/>
    <col min="15" max="15" width="14.42578125" style="2" customWidth="1"/>
    <col min="16" max="16" width="3.140625" style="2" customWidth="1"/>
    <col min="17" max="17" width="14.85546875" style="2" customWidth="1"/>
    <col min="18" max="18" width="14.140625" style="2" customWidth="1"/>
    <col min="19" max="19" width="16.7109375" style="2" customWidth="1"/>
    <col min="20" max="16384" width="9.140625" style="2"/>
  </cols>
  <sheetData>
    <row r="1" spans="1:20" ht="18" customHeight="1" x14ac:dyDescent="0.25">
      <c r="A1" s="2" t="s">
        <v>342</v>
      </c>
      <c r="B1" s="1" t="s">
        <v>94</v>
      </c>
      <c r="Q1" s="335" t="s">
        <v>230</v>
      </c>
      <c r="R1" s="335"/>
      <c r="S1" s="335"/>
    </row>
    <row r="2" spans="1:20" ht="18" customHeight="1" x14ac:dyDescent="0.25">
      <c r="B2" s="90" t="s">
        <v>148</v>
      </c>
      <c r="C2" s="187">
        <v>44377</v>
      </c>
      <c r="M2" s="73"/>
      <c r="N2" s="73"/>
      <c r="P2" s="29"/>
      <c r="Q2" s="334" t="s">
        <v>338</v>
      </c>
      <c r="R2" s="334"/>
      <c r="S2" s="334"/>
    </row>
    <row r="3" spans="1:20" ht="18" customHeight="1" thickBot="1" x14ac:dyDescent="0.3">
      <c r="A3" s="2" t="s">
        <v>16</v>
      </c>
      <c r="B3" s="44" t="s">
        <v>95</v>
      </c>
      <c r="C3" s="8"/>
      <c r="D3" s="8"/>
      <c r="E3" s="8"/>
      <c r="P3" s="29"/>
      <c r="Q3" s="45"/>
      <c r="R3" s="30"/>
    </row>
    <row r="4" spans="1:20" ht="18.75" customHeight="1" x14ac:dyDescent="0.25">
      <c r="B4" s="8" t="s">
        <v>174</v>
      </c>
      <c r="M4" s="87" t="s">
        <v>28</v>
      </c>
      <c r="N4" s="87" t="s">
        <v>28</v>
      </c>
      <c r="O4" s="87" t="s">
        <v>28</v>
      </c>
      <c r="P4" s="9"/>
      <c r="Q4" s="91" t="s">
        <v>29</v>
      </c>
      <c r="R4" s="91" t="s">
        <v>31</v>
      </c>
      <c r="S4" s="91" t="s">
        <v>23</v>
      </c>
      <c r="T4" s="7"/>
    </row>
    <row r="5" spans="1:20" ht="15.75" thickBot="1" x14ac:dyDescent="0.3">
      <c r="G5" s="188" t="s">
        <v>231</v>
      </c>
      <c r="H5" s="188" t="s">
        <v>231</v>
      </c>
      <c r="M5" s="88" t="s">
        <v>27</v>
      </c>
      <c r="N5" s="88" t="s">
        <v>26</v>
      </c>
      <c r="O5" s="88" t="s">
        <v>25</v>
      </c>
      <c r="P5" s="9"/>
      <c r="Q5" s="92" t="s">
        <v>30</v>
      </c>
      <c r="R5" s="92" t="s">
        <v>30</v>
      </c>
      <c r="S5" s="92" t="s">
        <v>30</v>
      </c>
      <c r="T5" s="7"/>
    </row>
    <row r="6" spans="1:20" ht="85.5" customHeight="1" thickBot="1" x14ac:dyDescent="0.3">
      <c r="B6" s="86" t="s">
        <v>1</v>
      </c>
      <c r="C6" s="86" t="s">
        <v>127</v>
      </c>
      <c r="D6" s="86" t="s">
        <v>107</v>
      </c>
      <c r="E6" s="86" t="s">
        <v>3</v>
      </c>
      <c r="F6" s="86" t="s">
        <v>4</v>
      </c>
      <c r="G6" s="110" t="s">
        <v>136</v>
      </c>
      <c r="H6" s="110" t="s">
        <v>137</v>
      </c>
      <c r="I6" s="110" t="s">
        <v>133</v>
      </c>
      <c r="J6" s="110" t="s">
        <v>134</v>
      </c>
      <c r="K6" s="110" t="s">
        <v>121</v>
      </c>
      <c r="L6" s="85" t="s">
        <v>5</v>
      </c>
      <c r="M6" s="89" t="s">
        <v>6</v>
      </c>
      <c r="N6" s="89" t="s">
        <v>6</v>
      </c>
      <c r="O6" s="89" t="s">
        <v>6</v>
      </c>
      <c r="P6" s="9"/>
      <c r="Q6" s="93"/>
      <c r="R6" s="99" t="s">
        <v>32</v>
      </c>
      <c r="S6" s="100" t="s">
        <v>33</v>
      </c>
    </row>
    <row r="7" spans="1:20" ht="24" customHeight="1" x14ac:dyDescent="0.25">
      <c r="B7" s="2" t="s">
        <v>8</v>
      </c>
      <c r="C7" s="94" t="s">
        <v>106</v>
      </c>
      <c r="D7" s="94" t="s">
        <v>246</v>
      </c>
      <c r="E7" s="2" t="s">
        <v>232</v>
      </c>
      <c r="F7" s="2" t="s">
        <v>7</v>
      </c>
      <c r="G7" s="191">
        <v>2.9600000000000001E-2</v>
      </c>
      <c r="H7" s="191">
        <v>0.1744</v>
      </c>
      <c r="I7" s="192">
        <v>44377</v>
      </c>
      <c r="J7" s="192">
        <v>44378</v>
      </c>
      <c r="K7" s="192">
        <v>44013</v>
      </c>
      <c r="L7" s="193" t="s">
        <v>234</v>
      </c>
      <c r="M7" s="72">
        <v>261107.52</v>
      </c>
      <c r="N7" s="147">
        <f>261403.52-M7</f>
        <v>296</v>
      </c>
      <c r="O7" s="69">
        <f t="shared" ref="O7:O16" si="0">M7+N7</f>
        <v>261403.51999999999</v>
      </c>
      <c r="P7" s="153"/>
      <c r="Q7" s="75">
        <f>6682.08+46328.16+34461.14+9519.44+34336.42+27730.92+21804.5+17387.88+18354.37+26383.46</f>
        <v>242988.36999999997</v>
      </c>
      <c r="R7" s="154"/>
      <c r="S7" s="219">
        <f>Q7+R7</f>
        <v>242988.36999999997</v>
      </c>
    </row>
    <row r="8" spans="1:20" ht="24" customHeight="1" x14ac:dyDescent="0.25">
      <c r="B8" s="306" t="s">
        <v>294</v>
      </c>
      <c r="C8" s="94" t="s">
        <v>295</v>
      </c>
      <c r="D8" s="94" t="s">
        <v>250</v>
      </c>
      <c r="E8" s="2" t="s">
        <v>293</v>
      </c>
      <c r="F8" s="2" t="s">
        <v>7</v>
      </c>
      <c r="G8" s="191">
        <v>2.9600000000000001E-2</v>
      </c>
      <c r="H8" s="191">
        <v>0.1744</v>
      </c>
      <c r="I8" s="192">
        <v>44377</v>
      </c>
      <c r="J8" s="192">
        <v>44378</v>
      </c>
      <c r="K8" s="192">
        <v>44013</v>
      </c>
      <c r="L8" s="193" t="s">
        <v>234</v>
      </c>
      <c r="M8" s="72">
        <v>300</v>
      </c>
      <c r="N8" s="147">
        <f>4395.96</f>
        <v>4395.96</v>
      </c>
      <c r="O8" s="69">
        <f t="shared" si="0"/>
        <v>4695.96</v>
      </c>
      <c r="P8" s="153"/>
      <c r="Q8" s="75">
        <f>300+4395.96</f>
        <v>4695.96</v>
      </c>
      <c r="R8" s="154"/>
      <c r="S8" s="219">
        <f>Q8+R8</f>
        <v>4695.96</v>
      </c>
    </row>
    <row r="9" spans="1:20" ht="30" customHeight="1" x14ac:dyDescent="0.25">
      <c r="B9" s="2" t="s">
        <v>128</v>
      </c>
      <c r="C9" s="232" t="s">
        <v>122</v>
      </c>
      <c r="D9" s="95" t="s">
        <v>248</v>
      </c>
      <c r="E9" s="2" t="s">
        <v>233</v>
      </c>
      <c r="F9" s="2" t="s">
        <v>7</v>
      </c>
      <c r="G9" s="191">
        <f t="shared" ref="G9:L9" si="1">G7</f>
        <v>2.9600000000000001E-2</v>
      </c>
      <c r="H9" s="191">
        <f t="shared" si="1"/>
        <v>0.1744</v>
      </c>
      <c r="I9" s="192">
        <f t="shared" si="1"/>
        <v>44377</v>
      </c>
      <c r="J9" s="192">
        <f t="shared" si="1"/>
        <v>44378</v>
      </c>
      <c r="K9" s="192">
        <f t="shared" si="1"/>
        <v>44013</v>
      </c>
      <c r="L9" s="193" t="str">
        <f t="shared" si="1"/>
        <v>07/01/20 - 06/30/21</v>
      </c>
      <c r="M9" s="72">
        <v>1060.8</v>
      </c>
      <c r="N9" s="147">
        <f>6266.88+8094+24.87</f>
        <v>14385.750000000002</v>
      </c>
      <c r="O9" s="69">
        <f t="shared" si="0"/>
        <v>15446.550000000001</v>
      </c>
      <c r="P9" s="153"/>
      <c r="Q9" s="75">
        <f>1060.8+6266.88+8094+24.87</f>
        <v>15446.550000000001</v>
      </c>
      <c r="R9" s="154"/>
      <c r="S9" s="219">
        <f t="shared" ref="S9:S10" si="2">Q9+R9</f>
        <v>15446.550000000001</v>
      </c>
    </row>
    <row r="10" spans="1:20" ht="30" customHeight="1" x14ac:dyDescent="0.25">
      <c r="B10" s="2" t="s">
        <v>241</v>
      </c>
      <c r="C10" s="243" t="s">
        <v>242</v>
      </c>
      <c r="D10" s="95" t="s">
        <v>243</v>
      </c>
      <c r="E10" s="2" t="s">
        <v>244</v>
      </c>
      <c r="F10" s="2" t="s">
        <v>7</v>
      </c>
      <c r="G10" s="191">
        <v>2.9600000000000001E-2</v>
      </c>
      <c r="H10" s="191">
        <v>0.1744</v>
      </c>
      <c r="I10" s="192">
        <v>44834</v>
      </c>
      <c r="J10" s="192">
        <v>44849</v>
      </c>
      <c r="K10" s="192">
        <v>43614</v>
      </c>
      <c r="L10" s="193" t="s">
        <v>311</v>
      </c>
      <c r="M10" s="72">
        <v>139478.25</v>
      </c>
      <c r="N10" s="147"/>
      <c r="O10" s="69">
        <f t="shared" si="0"/>
        <v>139478.25</v>
      </c>
      <c r="P10" s="153"/>
      <c r="Q10" s="75"/>
      <c r="R10" s="154"/>
      <c r="S10" s="219">
        <f t="shared" si="2"/>
        <v>0</v>
      </c>
    </row>
    <row r="11" spans="1:20" ht="30" customHeight="1" x14ac:dyDescent="0.25">
      <c r="B11" s="2" t="s">
        <v>283</v>
      </c>
      <c r="C11" s="243" t="s">
        <v>264</v>
      </c>
      <c r="D11" s="95" t="s">
        <v>254</v>
      </c>
      <c r="E11" s="2" t="s">
        <v>284</v>
      </c>
      <c r="F11" s="2" t="s">
        <v>7</v>
      </c>
      <c r="G11" s="191">
        <f t="shared" ref="G11:H12" si="3">+G10</f>
        <v>2.9600000000000001E-2</v>
      </c>
      <c r="H11" s="191">
        <f t="shared" si="3"/>
        <v>0.1744</v>
      </c>
      <c r="I11" s="192">
        <v>44377</v>
      </c>
      <c r="J11" s="192">
        <v>44392</v>
      </c>
      <c r="K11" s="192">
        <v>43613</v>
      </c>
      <c r="L11" s="193" t="s">
        <v>234</v>
      </c>
      <c r="M11" s="81">
        <v>7302.48</v>
      </c>
      <c r="N11" s="69"/>
      <c r="O11" s="69">
        <f t="shared" si="0"/>
        <v>7302.48</v>
      </c>
      <c r="P11" s="69"/>
      <c r="Q11" s="69"/>
      <c r="R11" s="69"/>
      <c r="S11" s="70">
        <f>Q11+R11</f>
        <v>0</v>
      </c>
    </row>
    <row r="12" spans="1:20" ht="30" customHeight="1" x14ac:dyDescent="0.25">
      <c r="B12" s="2" t="s">
        <v>289</v>
      </c>
      <c r="C12" s="243" t="s">
        <v>292</v>
      </c>
      <c r="D12" s="95" t="s">
        <v>290</v>
      </c>
      <c r="E12" s="2" t="s">
        <v>291</v>
      </c>
      <c r="F12" s="2" t="s">
        <v>7</v>
      </c>
      <c r="G12" s="191">
        <f t="shared" si="3"/>
        <v>2.9600000000000001E-2</v>
      </c>
      <c r="H12" s="191">
        <f t="shared" si="3"/>
        <v>0.1744</v>
      </c>
      <c r="I12" s="192">
        <v>44439</v>
      </c>
      <c r="J12" s="192">
        <v>44454</v>
      </c>
      <c r="K12" s="192">
        <v>44013</v>
      </c>
      <c r="L12" s="193" t="s">
        <v>337</v>
      </c>
      <c r="M12" s="81">
        <v>2197.88</v>
      </c>
      <c r="N12" s="69">
        <f>3764.85+1+7989.9</f>
        <v>11755.75</v>
      </c>
      <c r="O12" s="69">
        <f t="shared" si="0"/>
        <v>13953.630000000001</v>
      </c>
      <c r="P12" s="69"/>
      <c r="Q12" s="69">
        <f>2197.88+3764.85+7983.15</f>
        <v>13945.88</v>
      </c>
      <c r="R12" s="69"/>
      <c r="S12" s="70">
        <f>Q12+R12</f>
        <v>13945.88</v>
      </c>
    </row>
    <row r="13" spans="1:20" ht="30" customHeight="1" x14ac:dyDescent="0.25">
      <c r="B13" s="2" t="s">
        <v>314</v>
      </c>
      <c r="C13" s="243" t="s">
        <v>242</v>
      </c>
      <c r="D13" s="95" t="s">
        <v>243</v>
      </c>
      <c r="E13" s="2" t="s">
        <v>315</v>
      </c>
      <c r="F13" s="2" t="s">
        <v>7</v>
      </c>
      <c r="G13" s="313">
        <f>+G11</f>
        <v>2.9600000000000001E-2</v>
      </c>
      <c r="H13" s="313">
        <f>+H11</f>
        <v>0.1744</v>
      </c>
      <c r="I13" s="312">
        <v>44773</v>
      </c>
      <c r="J13" s="312">
        <v>44788</v>
      </c>
      <c r="K13" s="192">
        <v>43980</v>
      </c>
      <c r="L13" s="193" t="s">
        <v>316</v>
      </c>
      <c r="M13" s="81">
        <v>7151.44</v>
      </c>
      <c r="N13" s="72"/>
      <c r="O13" s="69">
        <f t="shared" si="0"/>
        <v>7151.44</v>
      </c>
      <c r="P13" s="69"/>
      <c r="Q13" s="69"/>
      <c r="R13" s="69"/>
      <c r="S13" s="70">
        <f>Q13+R13</f>
        <v>0</v>
      </c>
    </row>
    <row r="14" spans="1:20" ht="30" customHeight="1" x14ac:dyDescent="0.25">
      <c r="B14" s="2" t="s">
        <v>318</v>
      </c>
      <c r="C14" s="243" t="s">
        <v>242</v>
      </c>
      <c r="D14" s="95" t="s">
        <v>243</v>
      </c>
      <c r="E14" s="2" t="s">
        <v>319</v>
      </c>
      <c r="F14" s="2" t="s">
        <v>7</v>
      </c>
      <c r="G14" s="191">
        <v>2.9600000000000001E-2</v>
      </c>
      <c r="H14" s="191">
        <v>0.1744</v>
      </c>
      <c r="I14" s="192">
        <v>44561</v>
      </c>
      <c r="J14" s="192">
        <v>44576</v>
      </c>
      <c r="K14" s="192">
        <v>43980</v>
      </c>
      <c r="L14" s="193" t="s">
        <v>320</v>
      </c>
      <c r="M14" s="81">
        <v>3000</v>
      </c>
      <c r="N14" s="69"/>
      <c r="O14" s="69">
        <f t="shared" si="0"/>
        <v>3000</v>
      </c>
      <c r="P14" s="68"/>
      <c r="Q14" s="69"/>
      <c r="R14" s="69"/>
      <c r="S14" s="70">
        <f t="shared" ref="S14:S16" si="4">Q14+R14</f>
        <v>0</v>
      </c>
    </row>
    <row r="15" spans="1:20" ht="30" customHeight="1" x14ac:dyDescent="0.25">
      <c r="B15" s="2" t="s">
        <v>321</v>
      </c>
      <c r="C15" s="243" t="s">
        <v>264</v>
      </c>
      <c r="D15" s="95" t="s">
        <v>254</v>
      </c>
      <c r="E15" s="2" t="s">
        <v>322</v>
      </c>
      <c r="F15" s="2" t="s">
        <v>7</v>
      </c>
      <c r="G15" s="191">
        <v>2.9600000000000001E-2</v>
      </c>
      <c r="H15" s="191">
        <v>0.1744</v>
      </c>
      <c r="I15" s="192">
        <v>44742</v>
      </c>
      <c r="J15" s="192">
        <v>44757</v>
      </c>
      <c r="K15" s="192">
        <v>43979</v>
      </c>
      <c r="L15" s="193" t="s">
        <v>323</v>
      </c>
      <c r="M15" s="81">
        <v>1027</v>
      </c>
      <c r="N15" s="69"/>
      <c r="O15" s="69">
        <f t="shared" si="0"/>
        <v>1027</v>
      </c>
      <c r="P15" s="68"/>
      <c r="Q15" s="69"/>
      <c r="R15" s="69"/>
      <c r="S15" s="70">
        <f t="shared" si="4"/>
        <v>0</v>
      </c>
    </row>
    <row r="16" spans="1:20" ht="30" customHeight="1" x14ac:dyDescent="0.25">
      <c r="B16" s="2" t="s">
        <v>327</v>
      </c>
      <c r="C16" s="243" t="s">
        <v>242</v>
      </c>
      <c r="D16" s="95" t="s">
        <v>328</v>
      </c>
      <c r="E16" s="2" t="s">
        <v>329</v>
      </c>
      <c r="F16" s="2" t="s">
        <v>7</v>
      </c>
      <c r="G16" s="191">
        <v>2.9600000000000001E-2</v>
      </c>
      <c r="H16" s="191">
        <v>0.1744</v>
      </c>
      <c r="I16" s="192">
        <v>44440</v>
      </c>
      <c r="J16" s="192">
        <v>44440</v>
      </c>
      <c r="K16" s="192">
        <v>44201</v>
      </c>
      <c r="L16" s="193" t="s">
        <v>330</v>
      </c>
      <c r="M16" s="81">
        <v>301125.75</v>
      </c>
      <c r="N16" s="69"/>
      <c r="O16" s="69">
        <f t="shared" si="0"/>
        <v>301125.75</v>
      </c>
      <c r="P16" s="68"/>
      <c r="Q16" s="69"/>
      <c r="R16" s="69"/>
      <c r="S16" s="70">
        <f t="shared" si="4"/>
        <v>0</v>
      </c>
    </row>
    <row r="17" spans="2:19" x14ac:dyDescent="0.25">
      <c r="C17" s="94"/>
      <c r="D17" s="129"/>
      <c r="E17" s="77"/>
      <c r="G17" s="191"/>
      <c r="H17" s="191"/>
      <c r="I17" s="192"/>
      <c r="J17" s="192"/>
      <c r="K17" s="192"/>
      <c r="L17" s="193"/>
      <c r="M17" s="166"/>
      <c r="N17" s="185"/>
      <c r="O17" s="25"/>
      <c r="P17" s="153"/>
      <c r="Q17" s="220"/>
      <c r="R17" s="186"/>
      <c r="S17" s="165"/>
    </row>
    <row r="18" spans="2:19" ht="27" customHeight="1" x14ac:dyDescent="0.25">
      <c r="C18" s="95"/>
      <c r="D18" s="95"/>
      <c r="L18" s="5" t="s">
        <v>38</v>
      </c>
      <c r="M18" s="68">
        <f>SUM(M7:M17)</f>
        <v>723751.12</v>
      </c>
      <c r="N18" s="68">
        <f>SUM(N7:N17)</f>
        <v>30833.460000000003</v>
      </c>
      <c r="O18" s="68">
        <f>SUM(O7:O17)</f>
        <v>754584.58</v>
      </c>
      <c r="P18" s="68"/>
      <c r="Q18" s="221">
        <f>SUM(Q7:Q17)</f>
        <v>277076.75999999995</v>
      </c>
      <c r="R18" s="218">
        <f>SUM(R7:R17)</f>
        <v>0</v>
      </c>
      <c r="S18" s="222">
        <f>SUM(S7:S17)</f>
        <v>277076.75999999995</v>
      </c>
    </row>
    <row r="19" spans="2:19" x14ac:dyDescent="0.25">
      <c r="C19" s="95"/>
      <c r="D19" s="95"/>
      <c r="L19" s="5"/>
      <c r="M19" s="68"/>
      <c r="N19" s="68"/>
      <c r="O19" s="68"/>
      <c r="Q19" s="68"/>
      <c r="R19" s="68"/>
      <c r="S19" s="70"/>
    </row>
    <row r="20" spans="2:19" x14ac:dyDescent="0.25">
      <c r="B20" s="8" t="s">
        <v>125</v>
      </c>
      <c r="C20" s="94"/>
      <c r="D20" s="94"/>
      <c r="S20" s="27"/>
    </row>
    <row r="21" spans="2:19" ht="33.75" customHeight="1" x14ac:dyDescent="0.25">
      <c r="B21" s="338" t="s">
        <v>126</v>
      </c>
      <c r="C21" s="338"/>
      <c r="D21" s="338"/>
      <c r="E21" s="338"/>
      <c r="F21" s="338"/>
      <c r="L21" s="5"/>
      <c r="M21" s="68"/>
      <c r="N21" s="68"/>
      <c r="O21" s="68"/>
      <c r="Q21" s="68"/>
      <c r="R21" s="68"/>
      <c r="S21" s="70"/>
    </row>
    <row r="22" spans="2:19" x14ac:dyDescent="0.25">
      <c r="C22" s="94"/>
      <c r="D22" s="94"/>
      <c r="L22" s="5"/>
      <c r="M22" s="68"/>
      <c r="N22" s="68"/>
      <c r="O22" s="68"/>
      <c r="Q22" s="68"/>
      <c r="R22" s="68"/>
      <c r="S22" s="70"/>
    </row>
    <row r="23" spans="2:19" ht="48.75" customHeight="1" x14ac:dyDescent="0.25">
      <c r="B23" s="338" t="s">
        <v>129</v>
      </c>
      <c r="C23" s="338"/>
      <c r="D23" s="338"/>
      <c r="E23" s="338"/>
      <c r="F23" s="338"/>
      <c r="L23" s="5"/>
      <c r="M23" s="68"/>
      <c r="N23" s="68"/>
      <c r="O23" s="68"/>
      <c r="Q23" s="68"/>
      <c r="R23" s="68"/>
      <c r="S23" s="70"/>
    </row>
    <row r="24" spans="2:19" x14ac:dyDescent="0.25">
      <c r="B24" s="111"/>
      <c r="C24" s="111"/>
      <c r="D24" s="111"/>
      <c r="E24" s="111"/>
      <c r="L24" s="5"/>
      <c r="M24" s="68"/>
      <c r="N24" s="68"/>
      <c r="O24" s="68"/>
      <c r="Q24" s="68"/>
      <c r="R24" s="68"/>
      <c r="S24" s="70"/>
    </row>
    <row r="25" spans="2:19" ht="30" customHeight="1" x14ac:dyDescent="0.25">
      <c r="B25" s="338" t="s">
        <v>160</v>
      </c>
      <c r="C25" s="338"/>
      <c r="D25" s="338"/>
      <c r="E25" s="338"/>
      <c r="F25" s="338"/>
      <c r="L25" s="5"/>
      <c r="M25" s="68"/>
      <c r="N25" s="68"/>
      <c r="O25" s="68"/>
      <c r="Q25" s="68"/>
      <c r="R25" s="68"/>
      <c r="S25" s="70"/>
    </row>
    <row r="26" spans="2:19" ht="15" customHeight="1" x14ac:dyDescent="0.25">
      <c r="B26" s="346" t="s">
        <v>159</v>
      </c>
      <c r="C26" s="338"/>
      <c r="D26" s="338"/>
      <c r="E26" s="338"/>
      <c r="F26" s="338"/>
      <c r="L26" s="5"/>
      <c r="M26" s="68"/>
      <c r="N26" s="68"/>
      <c r="O26" s="68"/>
      <c r="Q26" s="68"/>
      <c r="R26" s="68"/>
      <c r="S26" s="70"/>
    </row>
    <row r="27" spans="2:19" ht="15" customHeight="1" x14ac:dyDescent="0.25">
      <c r="B27" s="200"/>
      <c r="C27" s="200"/>
      <c r="D27" s="200"/>
      <c r="E27" s="200"/>
      <c r="L27" s="5"/>
      <c r="M27" s="68"/>
      <c r="N27" s="68"/>
      <c r="O27" s="68"/>
      <c r="Q27" s="68"/>
      <c r="R27" s="68"/>
      <c r="S27" s="70"/>
    </row>
    <row r="28" spans="2:19" x14ac:dyDescent="0.25">
      <c r="B28" s="7" t="s">
        <v>109</v>
      </c>
      <c r="C28" s="104" t="s">
        <v>112</v>
      </c>
      <c r="D28" s="104" t="s">
        <v>113</v>
      </c>
      <c r="E28" s="111"/>
      <c r="L28" s="5"/>
      <c r="M28" s="68"/>
      <c r="N28" s="68"/>
      <c r="O28" s="68"/>
      <c r="Q28" s="68"/>
      <c r="R28" s="68"/>
      <c r="S28" s="70"/>
    </row>
    <row r="29" spans="2:19" x14ac:dyDescent="0.25">
      <c r="B29" s="2" t="s">
        <v>110</v>
      </c>
      <c r="C29" s="94" t="s">
        <v>116</v>
      </c>
      <c r="D29" s="94" t="s">
        <v>118</v>
      </c>
      <c r="E29" s="111"/>
      <c r="L29" s="5"/>
      <c r="M29" s="68"/>
      <c r="N29" s="68"/>
      <c r="O29" s="68"/>
      <c r="Q29" s="68"/>
      <c r="R29" s="68"/>
      <c r="S29" s="70"/>
    </row>
    <row r="30" spans="2:19" x14ac:dyDescent="0.25">
      <c r="B30" s="2" t="s">
        <v>296</v>
      </c>
      <c r="C30" s="94" t="s">
        <v>180</v>
      </c>
      <c r="D30" s="94" t="s">
        <v>181</v>
      </c>
      <c r="E30" s="305"/>
      <c r="L30" s="5"/>
      <c r="M30" s="68"/>
      <c r="N30" s="68"/>
      <c r="O30" s="68"/>
      <c r="Q30" s="68"/>
      <c r="R30" s="68"/>
      <c r="S30" s="70"/>
    </row>
    <row r="31" spans="2:19" x14ac:dyDescent="0.25">
      <c r="B31" s="106" t="s">
        <v>111</v>
      </c>
      <c r="C31" s="94" t="s">
        <v>114</v>
      </c>
      <c r="D31" s="94" t="s">
        <v>119</v>
      </c>
      <c r="L31" s="5"/>
      <c r="M31" s="68"/>
      <c r="N31" s="68"/>
      <c r="O31" s="68"/>
      <c r="Q31" s="68"/>
      <c r="R31" s="68"/>
      <c r="S31" s="70"/>
    </row>
    <row r="32" spans="2:19" x14ac:dyDescent="0.25">
      <c r="B32" s="2" t="s">
        <v>252</v>
      </c>
      <c r="C32" s="94" t="s">
        <v>135</v>
      </c>
      <c r="D32" s="94" t="s">
        <v>147</v>
      </c>
      <c r="L32" s="5"/>
      <c r="M32" s="68"/>
      <c r="N32" s="68"/>
      <c r="O32" s="68"/>
      <c r="Q32" s="68"/>
      <c r="R32" s="68"/>
      <c r="S32" s="70"/>
    </row>
    <row r="33" spans="2:19" x14ac:dyDescent="0.25">
      <c r="B33" s="2" t="s">
        <v>260</v>
      </c>
      <c r="C33" s="94" t="s">
        <v>135</v>
      </c>
      <c r="D33" s="94" t="s">
        <v>147</v>
      </c>
      <c r="L33" s="5"/>
      <c r="M33" s="68"/>
      <c r="N33" s="68"/>
      <c r="O33" s="68"/>
      <c r="Q33" s="68"/>
      <c r="R33" s="68"/>
      <c r="S33" s="70"/>
    </row>
    <row r="34" spans="2:19" x14ac:dyDescent="0.25">
      <c r="B34" s="2" t="s">
        <v>297</v>
      </c>
      <c r="C34" s="94" t="s">
        <v>180</v>
      </c>
      <c r="D34" s="94" t="s">
        <v>181</v>
      </c>
      <c r="L34" s="5"/>
      <c r="M34" s="68"/>
      <c r="N34" s="68"/>
      <c r="O34" s="68"/>
      <c r="Q34" s="68"/>
      <c r="R34" s="68"/>
      <c r="S34" s="70"/>
    </row>
    <row r="35" spans="2:19" x14ac:dyDescent="0.25">
      <c r="B35" s="2" t="s">
        <v>314</v>
      </c>
      <c r="C35" s="94" t="s">
        <v>135</v>
      </c>
      <c r="D35" s="94" t="s">
        <v>147</v>
      </c>
      <c r="L35" s="5"/>
      <c r="M35" s="68"/>
      <c r="N35" s="68"/>
      <c r="O35" s="68"/>
      <c r="Q35" s="68"/>
      <c r="R35" s="68"/>
      <c r="S35" s="70"/>
    </row>
    <row r="36" spans="2:19" x14ac:dyDescent="0.25">
      <c r="B36" s="2" t="s">
        <v>318</v>
      </c>
      <c r="C36" s="94" t="s">
        <v>135</v>
      </c>
      <c r="D36" s="94" t="s">
        <v>147</v>
      </c>
      <c r="L36" s="5"/>
      <c r="M36" s="68"/>
      <c r="N36" s="68"/>
      <c r="O36" s="68"/>
      <c r="Q36" s="68"/>
      <c r="R36" s="68"/>
      <c r="S36" s="70"/>
    </row>
    <row r="37" spans="2:19" x14ac:dyDescent="0.25">
      <c r="B37" s="2" t="s">
        <v>321</v>
      </c>
      <c r="C37" s="94" t="s">
        <v>135</v>
      </c>
      <c r="D37" s="94" t="s">
        <v>147</v>
      </c>
      <c r="L37" s="5"/>
      <c r="M37" s="68"/>
      <c r="N37" s="68"/>
      <c r="O37" s="68"/>
      <c r="Q37" s="68"/>
      <c r="R37" s="68"/>
      <c r="S37" s="70"/>
    </row>
    <row r="38" spans="2:19" x14ac:dyDescent="0.25">
      <c r="B38" s="2" t="s">
        <v>326</v>
      </c>
      <c r="C38" s="94" t="s">
        <v>135</v>
      </c>
      <c r="D38" s="94" t="s">
        <v>147</v>
      </c>
      <c r="L38" s="5"/>
      <c r="M38" s="68"/>
      <c r="N38" s="68"/>
      <c r="O38" s="68"/>
      <c r="Q38" s="68"/>
      <c r="R38" s="68"/>
      <c r="S38" s="70"/>
    </row>
    <row r="39" spans="2:19" x14ac:dyDescent="0.25">
      <c r="C39" s="94"/>
      <c r="D39" s="94"/>
      <c r="L39" s="5"/>
      <c r="M39" s="68"/>
      <c r="N39" s="68"/>
      <c r="O39" s="68"/>
      <c r="Q39" s="68"/>
      <c r="R39" s="68"/>
      <c r="S39" s="70"/>
    </row>
    <row r="40" spans="2:19" x14ac:dyDescent="0.25">
      <c r="B40" s="270" t="s">
        <v>235</v>
      </c>
      <c r="C40" s="94"/>
      <c r="D40" s="94"/>
      <c r="L40" s="5"/>
      <c r="M40" s="68"/>
      <c r="N40" s="68"/>
      <c r="O40" s="68"/>
      <c r="Q40" s="68"/>
      <c r="R40" s="68"/>
      <c r="S40" s="70"/>
    </row>
    <row r="41" spans="2:19" x14ac:dyDescent="0.25">
      <c r="B41" s="276" t="s">
        <v>236</v>
      </c>
      <c r="C41" s="42"/>
      <c r="D41" s="42"/>
      <c r="E41" s="29"/>
      <c r="F41" s="29"/>
      <c r="G41" s="29"/>
      <c r="H41" s="29"/>
      <c r="I41" s="29"/>
      <c r="J41" s="29"/>
      <c r="K41" s="29"/>
      <c r="L41" s="29"/>
      <c r="M41" s="29"/>
      <c r="N41" s="29"/>
      <c r="O41" s="29"/>
      <c r="P41" s="29"/>
      <c r="Q41" s="29"/>
      <c r="R41" s="29"/>
      <c r="S41" s="27"/>
    </row>
    <row r="42" spans="2:19" x14ac:dyDescent="0.25">
      <c r="B42" s="276"/>
      <c r="C42" s="42"/>
      <c r="D42" s="42"/>
      <c r="E42" s="29"/>
      <c r="F42" s="29"/>
      <c r="G42" s="29"/>
      <c r="H42" s="29"/>
      <c r="I42" s="29"/>
      <c r="J42" s="29"/>
      <c r="K42" s="29"/>
      <c r="L42" s="29"/>
      <c r="M42" s="29"/>
      <c r="N42" s="29"/>
      <c r="O42" s="29"/>
      <c r="P42" s="29"/>
      <c r="Q42" s="29"/>
      <c r="R42" s="29"/>
      <c r="S42" s="27"/>
    </row>
    <row r="43" spans="2:19" x14ac:dyDescent="0.25">
      <c r="B43" s="112"/>
      <c r="C43" s="112"/>
      <c r="D43" s="112"/>
      <c r="E43" s="112"/>
      <c r="F43" s="112"/>
      <c r="G43" s="112"/>
      <c r="H43" s="112"/>
      <c r="I43" s="112"/>
      <c r="J43" s="112"/>
      <c r="K43" s="112"/>
      <c r="L43" s="112"/>
      <c r="M43" s="112"/>
      <c r="N43" s="112"/>
      <c r="O43" s="112"/>
      <c r="P43" s="112"/>
      <c r="Q43" s="175" t="s">
        <v>90</v>
      </c>
      <c r="R43" s="176"/>
      <c r="S43" s="177"/>
    </row>
    <row r="44" spans="2:19" ht="15" customHeight="1" x14ac:dyDescent="0.25">
      <c r="B44" s="17" t="s">
        <v>39</v>
      </c>
      <c r="C44" s="98" t="s">
        <v>2</v>
      </c>
      <c r="D44" s="98"/>
      <c r="E44" s="98" t="s">
        <v>34</v>
      </c>
      <c r="F44" s="98" t="s">
        <v>35</v>
      </c>
      <c r="G44" s="123"/>
      <c r="H44" s="123"/>
      <c r="I44" s="117"/>
      <c r="J44" s="98"/>
      <c r="K44" s="98"/>
      <c r="L44" s="98" t="s">
        <v>36</v>
      </c>
      <c r="M44" s="98" t="s">
        <v>37</v>
      </c>
      <c r="N44" s="10"/>
      <c r="O44" s="10"/>
      <c r="P44" s="10"/>
      <c r="Q44" s="54" t="s">
        <v>88</v>
      </c>
      <c r="R44" s="54"/>
      <c r="S44" s="55"/>
    </row>
    <row r="45" spans="2:19" ht="15" customHeight="1" x14ac:dyDescent="0.25">
      <c r="B45" s="65"/>
      <c r="C45" s="9"/>
      <c r="D45" s="9"/>
      <c r="E45" s="9"/>
      <c r="F45" s="9"/>
      <c r="G45" s="9"/>
      <c r="H45" s="9"/>
      <c r="I45" s="9"/>
      <c r="J45" s="9"/>
      <c r="K45" s="9"/>
      <c r="L45" s="9"/>
      <c r="M45" s="9"/>
      <c r="Q45" s="58"/>
      <c r="R45" s="51"/>
      <c r="S45" s="51"/>
    </row>
    <row r="46" spans="2:19" ht="15" customHeight="1" x14ac:dyDescent="0.25">
      <c r="B46" s="65"/>
      <c r="C46" s="9"/>
      <c r="D46" s="9"/>
      <c r="E46" s="9"/>
      <c r="F46" s="9"/>
      <c r="G46" s="9"/>
      <c r="H46" s="9"/>
      <c r="I46" s="9"/>
      <c r="J46" s="9"/>
      <c r="K46" s="9"/>
      <c r="L46" s="9"/>
      <c r="M46" s="9"/>
      <c r="R46" s="51"/>
      <c r="S46" s="51"/>
    </row>
    <row r="47" spans="2:19" x14ac:dyDescent="0.25">
      <c r="B47" s="65"/>
      <c r="C47" s="9"/>
      <c r="D47" s="9"/>
      <c r="E47" s="9"/>
      <c r="F47" s="9"/>
      <c r="G47" s="9"/>
      <c r="H47" s="9"/>
      <c r="I47" s="9"/>
      <c r="J47" s="9"/>
      <c r="K47" s="9"/>
      <c r="L47" s="9"/>
      <c r="M47" s="9"/>
      <c r="Q47" s="58"/>
      <c r="R47" s="51"/>
      <c r="S47" s="51"/>
    </row>
    <row r="48" spans="2:19" x14ac:dyDescent="0.25">
      <c r="B48" s="65"/>
      <c r="C48" s="9"/>
      <c r="D48" s="9"/>
      <c r="E48" s="9"/>
      <c r="F48" s="9"/>
      <c r="G48" s="9"/>
      <c r="H48" s="9"/>
      <c r="I48" s="9"/>
      <c r="J48" s="9"/>
      <c r="K48" s="9"/>
      <c r="L48" s="9"/>
      <c r="M48" s="9"/>
      <c r="Q48" s="58"/>
      <c r="R48" s="51"/>
      <c r="S48" s="51"/>
    </row>
    <row r="49" spans="2:20" x14ac:dyDescent="0.25">
      <c r="B49" s="65"/>
      <c r="C49" s="9"/>
      <c r="D49" s="9"/>
      <c r="E49" s="9"/>
      <c r="F49" s="9"/>
      <c r="G49" s="9"/>
      <c r="H49" s="9"/>
      <c r="I49" s="9"/>
      <c r="J49" s="9"/>
      <c r="K49" s="9"/>
      <c r="L49" s="9"/>
      <c r="M49" s="9"/>
      <c r="R49" s="51"/>
      <c r="S49" s="51"/>
    </row>
    <row r="50" spans="2:20" x14ac:dyDescent="0.25">
      <c r="B50" s="12"/>
      <c r="C50" s="13"/>
      <c r="D50" s="13"/>
      <c r="E50" s="41"/>
      <c r="F50" s="15"/>
      <c r="G50" s="15"/>
      <c r="H50" s="15"/>
      <c r="I50" s="15"/>
      <c r="J50" s="15"/>
      <c r="K50" s="15"/>
      <c r="L50" s="16"/>
      <c r="M50" s="20"/>
      <c r="N50" s="46"/>
      <c r="O50" s="46"/>
      <c r="P50" s="46"/>
      <c r="Q50" s="325" t="s">
        <v>343</v>
      </c>
      <c r="R50" s="325"/>
      <c r="S50" s="329">
        <f>S18</f>
        <v>277076.75999999995</v>
      </c>
      <c r="T50" s="51"/>
    </row>
    <row r="51" spans="2:20" ht="15" customHeight="1" x14ac:dyDescent="0.25">
      <c r="B51" s="12"/>
      <c r="C51" s="13"/>
      <c r="D51" s="13"/>
      <c r="E51" s="41"/>
      <c r="F51" s="15"/>
      <c r="G51" s="15"/>
      <c r="H51" s="15"/>
      <c r="I51" s="15"/>
      <c r="J51" s="15"/>
      <c r="K51" s="15"/>
      <c r="L51" s="16"/>
      <c r="M51" s="20"/>
      <c r="N51" s="18"/>
      <c r="O51" s="18"/>
      <c r="P51" s="18"/>
      <c r="T51" s="51"/>
    </row>
    <row r="52" spans="2:20" x14ac:dyDescent="0.25">
      <c r="B52" s="36"/>
      <c r="C52" s="40"/>
      <c r="D52" s="40"/>
      <c r="E52" s="41"/>
      <c r="F52" s="38"/>
      <c r="G52" s="38"/>
      <c r="H52" s="38"/>
      <c r="I52" s="38"/>
      <c r="J52" s="38"/>
      <c r="K52" s="38"/>
      <c r="L52" s="39"/>
      <c r="M52" s="34"/>
      <c r="N52" s="107"/>
      <c r="O52" s="29"/>
      <c r="P52" s="29"/>
    </row>
    <row r="53" spans="2:20" x14ac:dyDescent="0.25">
      <c r="C53" s="40"/>
      <c r="D53" s="40"/>
      <c r="E53" s="41"/>
      <c r="F53" s="71"/>
      <c r="G53" s="71"/>
      <c r="H53" s="71"/>
      <c r="I53" s="71"/>
      <c r="J53" s="71"/>
      <c r="K53" s="71"/>
      <c r="L53" s="33"/>
      <c r="M53" s="31"/>
      <c r="N53" s="107"/>
    </row>
    <row r="54" spans="2:20" x14ac:dyDescent="0.25">
      <c r="C54" s="40"/>
      <c r="D54" s="40"/>
      <c r="E54" s="41"/>
      <c r="F54" s="71"/>
      <c r="G54" s="71"/>
      <c r="H54" s="71"/>
      <c r="I54" s="71"/>
      <c r="J54" s="71"/>
      <c r="K54" s="71"/>
      <c r="L54" s="33"/>
      <c r="M54" s="31"/>
      <c r="N54" s="108"/>
    </row>
    <row r="55" spans="2:20" x14ac:dyDescent="0.25">
      <c r="C55" s="40"/>
      <c r="D55" s="40"/>
      <c r="E55" s="41"/>
      <c r="F55" s="71"/>
      <c r="G55" s="71"/>
      <c r="H55" s="71"/>
      <c r="I55" s="71"/>
      <c r="J55" s="71"/>
      <c r="K55" s="71"/>
      <c r="L55" s="33"/>
      <c r="M55" s="35"/>
      <c r="N55" s="37"/>
      <c r="O55" s="37"/>
      <c r="P55" s="29"/>
    </row>
    <row r="56" spans="2:20" ht="15" customHeight="1" x14ac:dyDescent="0.25">
      <c r="B56" s="36"/>
      <c r="C56" s="40"/>
      <c r="D56" s="40"/>
      <c r="E56" s="41"/>
      <c r="F56" s="38"/>
      <c r="G56" s="38"/>
      <c r="H56" s="38"/>
      <c r="I56" s="38"/>
      <c r="J56" s="38"/>
      <c r="K56" s="38"/>
      <c r="L56" s="33"/>
      <c r="M56" s="31"/>
      <c r="N56" s="101"/>
      <c r="O56" s="101"/>
      <c r="P56" s="29"/>
    </row>
    <row r="57" spans="2:20" x14ac:dyDescent="0.25">
      <c r="B57" s="36"/>
      <c r="C57" s="40"/>
      <c r="D57" s="40"/>
      <c r="E57" s="41"/>
      <c r="F57" s="38"/>
      <c r="G57" s="38"/>
      <c r="H57" s="38"/>
      <c r="I57" s="38"/>
      <c r="J57" s="38"/>
      <c r="K57" s="38"/>
      <c r="L57" s="33"/>
      <c r="M57" s="31"/>
      <c r="N57" s="101"/>
      <c r="O57" s="101"/>
      <c r="P57" s="29"/>
    </row>
    <row r="58" spans="2:20" x14ac:dyDescent="0.25">
      <c r="B58" s="36"/>
      <c r="C58" s="40"/>
      <c r="D58" s="40"/>
      <c r="E58" s="41"/>
      <c r="F58" s="38"/>
      <c r="G58" s="38"/>
      <c r="H58" s="38"/>
      <c r="I58" s="38"/>
      <c r="J58" s="38"/>
      <c r="K58" s="38"/>
      <c r="L58" s="33"/>
      <c r="M58" s="31"/>
      <c r="N58" s="101"/>
      <c r="O58" s="101"/>
      <c r="P58" s="29"/>
    </row>
    <row r="59" spans="2:20" ht="16.5" customHeight="1" x14ac:dyDescent="0.25">
      <c r="B59" s="36"/>
      <c r="C59" s="40"/>
      <c r="D59" s="40"/>
      <c r="E59" s="41"/>
      <c r="F59" s="38"/>
      <c r="G59" s="38"/>
      <c r="H59" s="38"/>
      <c r="I59" s="38"/>
      <c r="J59" s="38"/>
      <c r="K59" s="38"/>
      <c r="L59" s="39"/>
      <c r="M59" s="20"/>
      <c r="N59" s="101"/>
      <c r="O59" s="101"/>
      <c r="P59" s="29"/>
    </row>
    <row r="60" spans="2:20" ht="15" hidden="1" customHeight="1" x14ac:dyDescent="0.25"/>
    <row r="61" spans="2:20" ht="15" customHeight="1" x14ac:dyDescent="0.25">
      <c r="E61" s="21"/>
      <c r="F61" s="105"/>
      <c r="G61" s="105"/>
      <c r="H61" s="105"/>
      <c r="I61" s="105"/>
      <c r="J61" s="105"/>
      <c r="K61" s="105"/>
    </row>
    <row r="64" spans="2:20" ht="15" customHeight="1" x14ac:dyDescent="0.25"/>
  </sheetData>
  <mergeCells count="6">
    <mergeCell ref="B26:F26"/>
    <mergeCell ref="Q1:S1"/>
    <mergeCell ref="Q2:S2"/>
    <mergeCell ref="B25:F25"/>
    <mergeCell ref="B21:F21"/>
    <mergeCell ref="B23:F23"/>
  </mergeCells>
  <hyperlinks>
    <hyperlink ref="B26" r:id="rId1"/>
  </hyperlinks>
  <printOptions horizontalCentered="1" gridLines="1"/>
  <pageMargins left="0" right="0" top="0.75" bottom="0.75" header="0.3" footer="0.3"/>
  <pageSetup scale="46" orientation="landscape" horizontalDpi="1200" verticalDpi="1200"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0"/>
  <sheetViews>
    <sheetView topLeftCell="J17" zoomScale="90" zoomScaleNormal="90" workbookViewId="0">
      <selection activeCell="S50" sqref="S50"/>
    </sheetView>
  </sheetViews>
  <sheetFormatPr defaultColWidth="9.140625" defaultRowHeight="15" x14ac:dyDescent="0.25"/>
  <cols>
    <col min="1" max="1" width="9.140625" style="2" hidden="1" customWidth="1"/>
    <col min="2" max="2" width="57.7109375" style="2" customWidth="1"/>
    <col min="3" max="3" width="26.7109375" style="2" customWidth="1"/>
    <col min="4" max="4" width="13.7109375" style="2" customWidth="1"/>
    <col min="5" max="5" width="16.85546875" style="2" customWidth="1"/>
    <col min="6" max="6" width="22.7109375" style="2" customWidth="1"/>
    <col min="7" max="7" width="10.28515625" style="2" customWidth="1"/>
    <col min="8" max="8" width="12.85546875" style="2" customWidth="1"/>
    <col min="9" max="9" width="13.42578125" style="2" customWidth="1"/>
    <col min="10" max="10" width="15.7109375" style="2" customWidth="1"/>
    <col min="11" max="11" width="8.85546875" style="2" customWidth="1"/>
    <col min="12" max="12" width="18.28515625" style="2" customWidth="1"/>
    <col min="13" max="13" width="13.28515625" style="2" bestFit="1" customWidth="1"/>
    <col min="14" max="14" width="13.7109375" style="2" customWidth="1"/>
    <col min="15" max="15" width="14.42578125" style="2" customWidth="1"/>
    <col min="16" max="16" width="3.140625" style="2" customWidth="1"/>
    <col min="17" max="17" width="14.5703125" style="2" customWidth="1"/>
    <col min="18" max="18" width="14.140625" style="2" customWidth="1"/>
    <col min="19" max="19" width="16.7109375" style="2" customWidth="1"/>
    <col min="20" max="16384" width="9.140625" style="2"/>
  </cols>
  <sheetData>
    <row r="1" spans="1:20" ht="18" customHeight="1" x14ac:dyDescent="0.25">
      <c r="A1" s="2" t="s">
        <v>342</v>
      </c>
      <c r="B1" s="1" t="s">
        <v>93</v>
      </c>
      <c r="Q1" s="335" t="s">
        <v>230</v>
      </c>
      <c r="R1" s="335"/>
      <c r="S1" s="335"/>
    </row>
    <row r="2" spans="1:20" ht="18" customHeight="1" x14ac:dyDescent="0.25">
      <c r="B2" s="90" t="s">
        <v>148</v>
      </c>
      <c r="C2" s="187">
        <v>44377</v>
      </c>
      <c r="M2" s="73"/>
      <c r="N2" s="73"/>
      <c r="P2" s="29"/>
      <c r="Q2" s="334" t="s">
        <v>338</v>
      </c>
      <c r="R2" s="334"/>
      <c r="S2" s="334"/>
    </row>
    <row r="3" spans="1:20" ht="18" customHeight="1" thickBot="1" x14ac:dyDescent="0.3">
      <c r="A3" s="2" t="s">
        <v>16</v>
      </c>
      <c r="B3" s="44" t="s">
        <v>92</v>
      </c>
      <c r="C3" s="8"/>
      <c r="D3" s="8"/>
      <c r="E3" s="8"/>
      <c r="P3" s="29"/>
      <c r="Q3" s="45"/>
      <c r="R3" s="30"/>
    </row>
    <row r="4" spans="1:20" ht="18.75" customHeight="1" x14ac:dyDescent="0.25">
      <c r="B4" s="8" t="s">
        <v>174</v>
      </c>
      <c r="M4" s="87" t="s">
        <v>28</v>
      </c>
      <c r="N4" s="87" t="s">
        <v>28</v>
      </c>
      <c r="O4" s="87" t="s">
        <v>28</v>
      </c>
      <c r="P4" s="9"/>
      <c r="Q4" s="91" t="s">
        <v>29</v>
      </c>
      <c r="R4" s="91" t="s">
        <v>31</v>
      </c>
      <c r="S4" s="91" t="s">
        <v>23</v>
      </c>
      <c r="T4" s="7"/>
    </row>
    <row r="5" spans="1:20" ht="15.75" thickBot="1" x14ac:dyDescent="0.3">
      <c r="G5" s="188" t="s">
        <v>231</v>
      </c>
      <c r="H5" s="188" t="s">
        <v>231</v>
      </c>
      <c r="M5" s="88" t="s">
        <v>27</v>
      </c>
      <c r="N5" s="88" t="s">
        <v>26</v>
      </c>
      <c r="O5" s="88" t="s">
        <v>25</v>
      </c>
      <c r="P5" s="9"/>
      <c r="Q5" s="92" t="s">
        <v>30</v>
      </c>
      <c r="R5" s="92" t="s">
        <v>30</v>
      </c>
      <c r="S5" s="92" t="s">
        <v>30</v>
      </c>
      <c r="T5" s="7"/>
    </row>
    <row r="6" spans="1:20" ht="85.5" customHeight="1" thickBot="1" x14ac:dyDescent="0.3">
      <c r="B6" s="86" t="s">
        <v>1</v>
      </c>
      <c r="C6" s="86" t="s">
        <v>127</v>
      </c>
      <c r="D6" s="86" t="s">
        <v>107</v>
      </c>
      <c r="E6" s="86" t="s">
        <v>3</v>
      </c>
      <c r="F6" s="86" t="s">
        <v>4</v>
      </c>
      <c r="G6" s="110" t="s">
        <v>136</v>
      </c>
      <c r="H6" s="110" t="s">
        <v>137</v>
      </c>
      <c r="I6" s="110" t="s">
        <v>133</v>
      </c>
      <c r="J6" s="110" t="s">
        <v>134</v>
      </c>
      <c r="K6" s="110" t="s">
        <v>121</v>
      </c>
      <c r="L6" s="85" t="s">
        <v>5</v>
      </c>
      <c r="M6" s="89" t="s">
        <v>6</v>
      </c>
      <c r="N6" s="89" t="s">
        <v>6</v>
      </c>
      <c r="O6" s="89" t="s">
        <v>6</v>
      </c>
      <c r="P6" s="9"/>
      <c r="Q6" s="93"/>
      <c r="R6" s="99" t="s">
        <v>32</v>
      </c>
      <c r="S6" s="100" t="s">
        <v>33</v>
      </c>
    </row>
    <row r="7" spans="1:20" ht="27" customHeight="1" x14ac:dyDescent="0.25">
      <c r="B7" s="2" t="s">
        <v>8</v>
      </c>
      <c r="C7" s="94" t="s">
        <v>106</v>
      </c>
      <c r="D7" s="94" t="s">
        <v>246</v>
      </c>
      <c r="E7" s="2" t="s">
        <v>232</v>
      </c>
      <c r="F7" s="2" t="s">
        <v>7</v>
      </c>
      <c r="G7" s="191">
        <v>2.9600000000000001E-2</v>
      </c>
      <c r="H7" s="191">
        <v>0.1744</v>
      </c>
      <c r="I7" s="192">
        <v>44377</v>
      </c>
      <c r="J7" s="192">
        <v>44378</v>
      </c>
      <c r="K7" s="192">
        <v>44013</v>
      </c>
      <c r="L7" s="193" t="s">
        <v>234</v>
      </c>
      <c r="M7" s="72">
        <v>285365.82</v>
      </c>
      <c r="N7" s="72">
        <f>285689.32-M7</f>
        <v>323.5</v>
      </c>
      <c r="O7" s="69">
        <f>M7+N7</f>
        <v>285689.32</v>
      </c>
      <c r="P7" s="153"/>
      <c r="Q7" s="72">
        <f>36068.82+47043.7+47680.79+39783.27+36181.57+15945.84</f>
        <v>222703.99</v>
      </c>
      <c r="R7" s="60"/>
      <c r="S7" s="83">
        <f>Q7+R7</f>
        <v>222703.99</v>
      </c>
    </row>
    <row r="8" spans="1:20" ht="33" customHeight="1" x14ac:dyDescent="0.25">
      <c r="B8" s="2" t="s">
        <v>128</v>
      </c>
      <c r="C8" s="232" t="s">
        <v>122</v>
      </c>
      <c r="D8" s="95" t="s">
        <v>248</v>
      </c>
      <c r="E8" s="2" t="s">
        <v>233</v>
      </c>
      <c r="F8" s="2" t="s">
        <v>7</v>
      </c>
      <c r="G8" s="191">
        <f>+G7</f>
        <v>2.9600000000000001E-2</v>
      </c>
      <c r="H8" s="191">
        <f t="shared" ref="H8:L8" si="0">+H7</f>
        <v>0.1744</v>
      </c>
      <c r="I8" s="192">
        <f t="shared" si="0"/>
        <v>44377</v>
      </c>
      <c r="J8" s="192">
        <f t="shared" si="0"/>
        <v>44378</v>
      </c>
      <c r="K8" s="192">
        <f t="shared" si="0"/>
        <v>44013</v>
      </c>
      <c r="L8" s="193" t="str">
        <f t="shared" si="0"/>
        <v>07/01/20 - 06/30/21</v>
      </c>
      <c r="M8" s="72">
        <v>19183.62</v>
      </c>
      <c r="N8" s="72"/>
      <c r="O8" s="69">
        <f>M8+N8</f>
        <v>19183.62</v>
      </c>
      <c r="P8" s="153"/>
      <c r="Q8" s="72">
        <v>19183.62</v>
      </c>
      <c r="R8" s="60"/>
      <c r="S8" s="83">
        <f>Q8+R8</f>
        <v>19183.62</v>
      </c>
    </row>
    <row r="9" spans="1:20" ht="33" customHeight="1" x14ac:dyDescent="0.25">
      <c r="B9" s="2" t="s">
        <v>241</v>
      </c>
      <c r="C9" s="243" t="s">
        <v>242</v>
      </c>
      <c r="D9" s="95" t="s">
        <v>243</v>
      </c>
      <c r="E9" s="2" t="s">
        <v>244</v>
      </c>
      <c r="F9" s="2" t="s">
        <v>7</v>
      </c>
      <c r="G9" s="191">
        <v>2.9600000000000001E-2</v>
      </c>
      <c r="H9" s="191">
        <v>0.1744</v>
      </c>
      <c r="I9" s="192">
        <v>44834</v>
      </c>
      <c r="J9" s="192">
        <v>44849</v>
      </c>
      <c r="K9" s="192">
        <v>43614</v>
      </c>
      <c r="L9" s="193" t="s">
        <v>311</v>
      </c>
      <c r="M9" s="72">
        <v>146674.71</v>
      </c>
      <c r="N9" s="72"/>
      <c r="O9" s="69">
        <f>M9+N9</f>
        <v>146674.71</v>
      </c>
      <c r="P9" s="153"/>
      <c r="Q9" s="72"/>
      <c r="R9" s="60"/>
      <c r="S9" s="83">
        <f>Q9+R9</f>
        <v>0</v>
      </c>
    </row>
    <row r="10" spans="1:20" ht="33" customHeight="1" x14ac:dyDescent="0.25">
      <c r="B10" s="2" t="s">
        <v>283</v>
      </c>
      <c r="C10" s="243" t="s">
        <v>264</v>
      </c>
      <c r="D10" s="95" t="s">
        <v>254</v>
      </c>
      <c r="E10" s="2" t="s">
        <v>284</v>
      </c>
      <c r="F10" s="2" t="s">
        <v>7</v>
      </c>
      <c r="G10" s="191">
        <f t="shared" ref="G10:H10" si="1">+G9</f>
        <v>2.9600000000000001E-2</v>
      </c>
      <c r="H10" s="191">
        <f t="shared" si="1"/>
        <v>0.1744</v>
      </c>
      <c r="I10" s="192">
        <v>44377</v>
      </c>
      <c r="J10" s="192">
        <v>44392</v>
      </c>
      <c r="K10" s="192">
        <v>43613</v>
      </c>
      <c r="L10" s="193" t="s">
        <v>234</v>
      </c>
      <c r="M10" s="81">
        <v>7302.48</v>
      </c>
      <c r="N10" s="69"/>
      <c r="O10" s="69">
        <f>M10+N10</f>
        <v>7302.48</v>
      </c>
      <c r="P10" s="69"/>
      <c r="Q10" s="69"/>
      <c r="R10" s="69"/>
      <c r="S10" s="70">
        <f>Q10+R10</f>
        <v>0</v>
      </c>
    </row>
    <row r="11" spans="1:20" ht="33" customHeight="1" x14ac:dyDescent="0.25">
      <c r="B11" s="2" t="s">
        <v>314</v>
      </c>
      <c r="C11" s="243" t="s">
        <v>242</v>
      </c>
      <c r="D11" s="95" t="s">
        <v>243</v>
      </c>
      <c r="E11" s="2" t="s">
        <v>315</v>
      </c>
      <c r="F11" s="2" t="s">
        <v>7</v>
      </c>
      <c r="G11" s="313">
        <f>+G9</f>
        <v>2.9600000000000001E-2</v>
      </c>
      <c r="H11" s="313">
        <f>+H9</f>
        <v>0.1744</v>
      </c>
      <c r="I11" s="312">
        <v>44773</v>
      </c>
      <c r="J11" s="312">
        <v>44788</v>
      </c>
      <c r="K11" s="192">
        <v>43980</v>
      </c>
      <c r="L11" s="193" t="s">
        <v>316</v>
      </c>
      <c r="M11" s="81">
        <v>8120.06</v>
      </c>
      <c r="N11" s="72"/>
      <c r="O11" s="69">
        <f>M11+N11</f>
        <v>8120.06</v>
      </c>
      <c r="P11" s="69"/>
      <c r="Q11" s="69"/>
      <c r="R11" s="69"/>
      <c r="S11" s="70">
        <f>Q11+R11</f>
        <v>0</v>
      </c>
    </row>
    <row r="12" spans="1:20" ht="33" customHeight="1" x14ac:dyDescent="0.25">
      <c r="B12" s="2" t="s">
        <v>318</v>
      </c>
      <c r="C12" s="243" t="s">
        <v>242</v>
      </c>
      <c r="D12" s="95" t="s">
        <v>243</v>
      </c>
      <c r="E12" s="2" t="s">
        <v>319</v>
      </c>
      <c r="F12" s="2" t="s">
        <v>7</v>
      </c>
      <c r="G12" s="191">
        <v>2.9600000000000001E-2</v>
      </c>
      <c r="H12" s="191">
        <v>0.1744</v>
      </c>
      <c r="I12" s="192">
        <v>44561</v>
      </c>
      <c r="J12" s="192">
        <v>44576</v>
      </c>
      <c r="K12" s="192">
        <v>43980</v>
      </c>
      <c r="L12" s="193" t="s">
        <v>320</v>
      </c>
      <c r="M12" s="81">
        <v>3000</v>
      </c>
      <c r="N12" s="69"/>
      <c r="O12" s="69">
        <f t="shared" ref="O12:O14" si="2">M12+N12</f>
        <v>3000</v>
      </c>
      <c r="P12" s="68"/>
      <c r="Q12" s="69"/>
      <c r="R12" s="69"/>
      <c r="S12" s="70">
        <f t="shared" ref="S12:S14" si="3">Q12+R12</f>
        <v>0</v>
      </c>
    </row>
    <row r="13" spans="1:20" ht="33" customHeight="1" x14ac:dyDescent="0.25">
      <c r="B13" s="2" t="s">
        <v>321</v>
      </c>
      <c r="C13" s="243" t="s">
        <v>264</v>
      </c>
      <c r="D13" s="95" t="s">
        <v>254</v>
      </c>
      <c r="E13" s="2" t="s">
        <v>322</v>
      </c>
      <c r="F13" s="2" t="s">
        <v>7</v>
      </c>
      <c r="G13" s="191">
        <v>2.9600000000000001E-2</v>
      </c>
      <c r="H13" s="191">
        <v>0.1744</v>
      </c>
      <c r="I13" s="192">
        <v>44742</v>
      </c>
      <c r="J13" s="192">
        <v>44757</v>
      </c>
      <c r="K13" s="192">
        <v>43979</v>
      </c>
      <c r="L13" s="193" t="s">
        <v>323</v>
      </c>
      <c r="M13" s="81">
        <v>1027</v>
      </c>
      <c r="N13" s="69"/>
      <c r="O13" s="69">
        <f t="shared" si="2"/>
        <v>1027</v>
      </c>
      <c r="P13" s="68"/>
      <c r="Q13" s="69"/>
      <c r="R13" s="69"/>
      <c r="S13" s="70">
        <f t="shared" si="3"/>
        <v>0</v>
      </c>
    </row>
    <row r="14" spans="1:20" ht="33" customHeight="1" x14ac:dyDescent="0.25">
      <c r="B14" s="2" t="s">
        <v>327</v>
      </c>
      <c r="C14" s="243" t="s">
        <v>242</v>
      </c>
      <c r="D14" s="95" t="s">
        <v>328</v>
      </c>
      <c r="E14" s="2" t="s">
        <v>329</v>
      </c>
      <c r="F14" s="2" t="s">
        <v>7</v>
      </c>
      <c r="G14" s="191">
        <v>2.9600000000000001E-2</v>
      </c>
      <c r="H14" s="191">
        <v>0.1744</v>
      </c>
      <c r="I14" s="192">
        <v>44440</v>
      </c>
      <c r="J14" s="192">
        <v>44440</v>
      </c>
      <c r="K14" s="192">
        <v>44201</v>
      </c>
      <c r="L14" s="193" t="s">
        <v>330</v>
      </c>
      <c r="M14" s="81">
        <v>302368.25</v>
      </c>
      <c r="N14" s="69"/>
      <c r="O14" s="69">
        <f t="shared" si="2"/>
        <v>302368.25</v>
      </c>
      <c r="P14" s="68"/>
      <c r="Q14" s="69"/>
      <c r="R14" s="69"/>
      <c r="S14" s="70">
        <f t="shared" si="3"/>
        <v>0</v>
      </c>
    </row>
    <row r="15" spans="1:20" x14ac:dyDescent="0.25">
      <c r="C15" s="95"/>
      <c r="D15" s="95"/>
      <c r="I15" s="119"/>
      <c r="J15" s="119"/>
      <c r="K15" s="119"/>
      <c r="L15" s="95"/>
      <c r="M15" s="25"/>
      <c r="N15" s="25"/>
      <c r="O15" s="25"/>
      <c r="P15" s="29"/>
      <c r="Q15" s="25"/>
      <c r="R15" s="25"/>
      <c r="S15" s="26"/>
    </row>
    <row r="16" spans="1:20" ht="24" customHeight="1" x14ac:dyDescent="0.25">
      <c r="B16" s="29"/>
      <c r="C16" s="94"/>
      <c r="D16" s="94"/>
      <c r="L16" s="5" t="s">
        <v>38</v>
      </c>
      <c r="M16" s="68">
        <f>SUM(M7:M15)</f>
        <v>773041.94</v>
      </c>
      <c r="N16" s="68">
        <f>SUM(N7:N15)</f>
        <v>323.5</v>
      </c>
      <c r="O16" s="68">
        <f>SUM(O7:O15)</f>
        <v>773365.44</v>
      </c>
      <c r="P16" s="68" t="s">
        <v>100</v>
      </c>
      <c r="Q16" s="68">
        <f>SUM(Q7:Q15)</f>
        <v>241887.61</v>
      </c>
      <c r="R16" s="68">
        <f>SUM(R7:R15)</f>
        <v>0</v>
      </c>
      <c r="S16" s="23">
        <f>SUM(S7:S15)</f>
        <v>241887.61</v>
      </c>
    </row>
    <row r="17" spans="2:19" x14ac:dyDescent="0.25">
      <c r="B17" s="29"/>
      <c r="C17" s="94"/>
      <c r="D17" s="94"/>
      <c r="L17" s="5"/>
      <c r="M17" s="68"/>
      <c r="N17" s="68"/>
      <c r="O17" s="68"/>
      <c r="P17" s="68"/>
      <c r="Q17" s="68"/>
      <c r="R17" s="68"/>
      <c r="S17" s="70"/>
    </row>
    <row r="18" spans="2:19" x14ac:dyDescent="0.25">
      <c r="B18" s="8" t="s">
        <v>125</v>
      </c>
      <c r="C18" s="94"/>
      <c r="D18" s="94"/>
      <c r="S18" s="27"/>
    </row>
    <row r="19" spans="2:19" ht="35.25" customHeight="1" x14ac:dyDescent="0.25">
      <c r="B19" s="338" t="s">
        <v>126</v>
      </c>
      <c r="C19" s="338"/>
      <c r="D19" s="338"/>
      <c r="E19" s="338"/>
      <c r="F19" s="338"/>
      <c r="L19" s="5"/>
      <c r="M19" s="68"/>
      <c r="N19" s="68"/>
      <c r="O19" s="68"/>
      <c r="Q19" s="68"/>
      <c r="R19" s="68"/>
      <c r="S19" s="70"/>
    </row>
    <row r="20" spans="2:19" x14ac:dyDescent="0.25">
      <c r="B20" s="198"/>
      <c r="C20" s="198"/>
      <c r="D20" s="198"/>
      <c r="E20" s="198"/>
      <c r="F20" s="198"/>
      <c r="L20" s="5"/>
      <c r="M20" s="68"/>
      <c r="N20" s="68"/>
      <c r="O20" s="68"/>
      <c r="Q20" s="68"/>
      <c r="R20" s="68"/>
      <c r="S20" s="70"/>
    </row>
    <row r="21" spans="2:19" ht="48" customHeight="1" x14ac:dyDescent="0.25">
      <c r="B21" s="338" t="s">
        <v>129</v>
      </c>
      <c r="C21" s="338"/>
      <c r="D21" s="338"/>
      <c r="E21" s="338"/>
      <c r="F21" s="338"/>
      <c r="L21" s="5"/>
      <c r="M21" s="68"/>
      <c r="N21" s="68"/>
      <c r="O21" s="68"/>
      <c r="Q21" s="68"/>
      <c r="R21" s="68"/>
      <c r="S21" s="70"/>
    </row>
    <row r="22" spans="2:19" x14ac:dyDescent="0.25">
      <c r="B22" s="111"/>
      <c r="C22" s="111"/>
      <c r="D22" s="111"/>
      <c r="E22" s="111"/>
      <c r="L22" s="5"/>
      <c r="M22" s="68"/>
      <c r="N22" s="68"/>
      <c r="O22" s="68"/>
      <c r="Q22" s="68"/>
      <c r="R22" s="68"/>
      <c r="S22" s="70"/>
    </row>
    <row r="23" spans="2:19" ht="28.5" customHeight="1" x14ac:dyDescent="0.25">
      <c r="B23" s="343" t="s">
        <v>160</v>
      </c>
      <c r="C23" s="343"/>
      <c r="D23" s="343"/>
      <c r="E23" s="343"/>
      <c r="F23" s="343"/>
      <c r="L23" s="5"/>
      <c r="M23" s="68"/>
      <c r="N23" s="68"/>
      <c r="O23" s="68"/>
      <c r="Q23" s="68"/>
      <c r="R23" s="68"/>
      <c r="S23" s="70"/>
    </row>
    <row r="24" spans="2:19" ht="15" customHeight="1" x14ac:dyDescent="0.25">
      <c r="B24" s="346" t="s">
        <v>159</v>
      </c>
      <c r="C24" s="338"/>
      <c r="D24" s="338"/>
      <c r="E24" s="338"/>
      <c r="F24" s="338"/>
      <c r="L24" s="5"/>
      <c r="M24" s="68"/>
      <c r="N24" s="68"/>
      <c r="O24" s="68"/>
      <c r="Q24" s="68"/>
      <c r="R24" s="68"/>
      <c r="S24" s="70"/>
    </row>
    <row r="25" spans="2:19" ht="15" customHeight="1" x14ac:dyDescent="0.25">
      <c r="B25" s="200"/>
      <c r="C25" s="200"/>
      <c r="D25" s="200"/>
      <c r="E25" s="200"/>
      <c r="L25" s="5"/>
      <c r="M25" s="68"/>
      <c r="N25" s="68"/>
      <c r="O25" s="68"/>
      <c r="Q25" s="68"/>
      <c r="R25" s="68"/>
      <c r="S25" s="70"/>
    </row>
    <row r="26" spans="2:19" x14ac:dyDescent="0.25">
      <c r="B26" s="7" t="s">
        <v>109</v>
      </c>
      <c r="C26" s="104" t="s">
        <v>112</v>
      </c>
      <c r="D26" s="104" t="s">
        <v>113</v>
      </c>
      <c r="E26" s="111"/>
      <c r="L26" s="5"/>
      <c r="M26" s="68"/>
      <c r="N26" s="68"/>
      <c r="O26" s="68"/>
      <c r="Q26" s="68"/>
      <c r="R26" s="68"/>
      <c r="S26" s="70"/>
    </row>
    <row r="27" spans="2:19" x14ac:dyDescent="0.25">
      <c r="B27" s="2" t="s">
        <v>110</v>
      </c>
      <c r="C27" s="94" t="s">
        <v>116</v>
      </c>
      <c r="D27" s="94" t="s">
        <v>118</v>
      </c>
      <c r="E27" s="111"/>
      <c r="L27" s="5"/>
      <c r="M27" s="68"/>
      <c r="N27" s="68"/>
      <c r="O27" s="68"/>
      <c r="Q27" s="68"/>
      <c r="R27" s="68"/>
      <c r="S27" s="70"/>
    </row>
    <row r="28" spans="2:19" ht="15" customHeight="1" x14ac:dyDescent="0.25">
      <c r="B28" s="12" t="s">
        <v>111</v>
      </c>
      <c r="C28" s="94" t="s">
        <v>114</v>
      </c>
      <c r="D28" s="94" t="s">
        <v>119</v>
      </c>
      <c r="L28" s="5"/>
      <c r="M28" s="68"/>
      <c r="N28" s="68"/>
      <c r="O28" s="68"/>
      <c r="Q28" s="68"/>
      <c r="R28" s="68"/>
      <c r="S28" s="70"/>
    </row>
    <row r="29" spans="2:19" ht="15" customHeight="1" x14ac:dyDescent="0.25">
      <c r="B29" s="2" t="s">
        <v>252</v>
      </c>
      <c r="C29" s="94" t="s">
        <v>135</v>
      </c>
      <c r="D29" s="94" t="s">
        <v>147</v>
      </c>
      <c r="L29" s="5"/>
      <c r="M29" s="68"/>
      <c r="N29" s="68"/>
      <c r="O29" s="68"/>
      <c r="Q29" s="68"/>
      <c r="R29" s="68"/>
      <c r="S29" s="70"/>
    </row>
    <row r="30" spans="2:19" ht="15" customHeight="1" x14ac:dyDescent="0.25">
      <c r="B30" s="2" t="s">
        <v>260</v>
      </c>
      <c r="C30" s="94" t="s">
        <v>135</v>
      </c>
      <c r="D30" s="94" t="s">
        <v>147</v>
      </c>
      <c r="L30" s="5"/>
      <c r="M30" s="68"/>
      <c r="N30" s="68"/>
      <c r="O30" s="68"/>
      <c r="Q30" s="68"/>
      <c r="R30" s="68"/>
      <c r="S30" s="70"/>
    </row>
    <row r="31" spans="2:19" ht="15" customHeight="1" x14ac:dyDescent="0.25">
      <c r="B31" s="2" t="s">
        <v>314</v>
      </c>
      <c r="C31" s="94" t="s">
        <v>135</v>
      </c>
      <c r="D31" s="94" t="s">
        <v>147</v>
      </c>
      <c r="L31" s="5"/>
      <c r="M31" s="68"/>
      <c r="N31" s="68"/>
      <c r="O31" s="68"/>
      <c r="Q31" s="68"/>
      <c r="R31" s="68"/>
      <c r="S31" s="70"/>
    </row>
    <row r="32" spans="2:19" ht="15" customHeight="1" x14ac:dyDescent="0.25">
      <c r="B32" s="2" t="s">
        <v>318</v>
      </c>
      <c r="C32" s="94" t="s">
        <v>135</v>
      </c>
      <c r="D32" s="94" t="s">
        <v>147</v>
      </c>
      <c r="L32" s="5"/>
      <c r="M32" s="68"/>
      <c r="N32" s="68"/>
      <c r="O32" s="68"/>
      <c r="Q32" s="68"/>
      <c r="R32" s="68"/>
      <c r="S32" s="70"/>
    </row>
    <row r="33" spans="2:20" ht="15" customHeight="1" x14ac:dyDescent="0.25">
      <c r="B33" s="2" t="s">
        <v>321</v>
      </c>
      <c r="C33" s="94" t="s">
        <v>135</v>
      </c>
      <c r="D33" s="94" t="s">
        <v>147</v>
      </c>
      <c r="L33" s="5"/>
      <c r="M33" s="68"/>
      <c r="N33" s="68"/>
      <c r="O33" s="68"/>
      <c r="Q33" s="68"/>
      <c r="R33" s="68"/>
      <c r="S33" s="70"/>
    </row>
    <row r="34" spans="2:20" ht="15" customHeight="1" x14ac:dyDescent="0.25">
      <c r="B34" s="2" t="s">
        <v>326</v>
      </c>
      <c r="C34" s="94" t="s">
        <v>135</v>
      </c>
      <c r="D34" s="94" t="s">
        <v>147</v>
      </c>
      <c r="L34" s="5"/>
      <c r="M34" s="68"/>
      <c r="N34" s="68"/>
      <c r="O34" s="68"/>
      <c r="Q34" s="68"/>
      <c r="R34" s="68"/>
      <c r="S34" s="70"/>
    </row>
    <row r="35" spans="2:20" ht="15" customHeight="1" x14ac:dyDescent="0.25">
      <c r="C35" s="94"/>
      <c r="D35" s="94"/>
      <c r="L35" s="5"/>
      <c r="M35" s="68"/>
      <c r="N35" s="68"/>
      <c r="O35" s="68"/>
      <c r="Q35" s="68"/>
      <c r="R35" s="68"/>
      <c r="S35" s="70"/>
    </row>
    <row r="36" spans="2:20" x14ac:dyDescent="0.25">
      <c r="B36" s="347" t="s">
        <v>235</v>
      </c>
      <c r="C36" s="333"/>
      <c r="D36" s="333"/>
      <c r="E36" s="333"/>
      <c r="F36" s="333"/>
      <c r="G36" s="333"/>
      <c r="H36" s="333"/>
      <c r="L36" s="5"/>
      <c r="M36" s="68"/>
      <c r="N36" s="68"/>
      <c r="O36" s="68"/>
      <c r="Q36" s="68"/>
      <c r="R36" s="68"/>
      <c r="S36" s="70"/>
    </row>
    <row r="37" spans="2:20" x14ac:dyDescent="0.25">
      <c r="B37" s="249" t="s">
        <v>236</v>
      </c>
      <c r="C37" s="94"/>
      <c r="D37" s="94"/>
      <c r="L37" s="5"/>
      <c r="M37" s="68"/>
      <c r="N37" s="68"/>
      <c r="O37" s="68"/>
      <c r="Q37" s="68"/>
      <c r="R37" s="68"/>
      <c r="S37" s="70"/>
    </row>
    <row r="38" spans="2:20" x14ac:dyDescent="0.25">
      <c r="B38" s="10"/>
      <c r="C38" s="96"/>
      <c r="D38" s="96"/>
      <c r="E38" s="10"/>
      <c r="F38" s="10"/>
      <c r="G38" s="10"/>
      <c r="H38" s="10"/>
      <c r="I38" s="10"/>
      <c r="J38" s="10"/>
      <c r="K38" s="10"/>
      <c r="L38" s="10"/>
      <c r="M38" s="10"/>
      <c r="N38" s="10"/>
      <c r="O38" s="10"/>
      <c r="P38" s="10"/>
      <c r="Q38" s="10"/>
      <c r="R38" s="10"/>
      <c r="S38" s="28"/>
    </row>
    <row r="39" spans="2:20" ht="15" customHeight="1" x14ac:dyDescent="0.25">
      <c r="P39" s="29"/>
      <c r="Q39" s="58" t="s">
        <v>90</v>
      </c>
      <c r="R39" s="51"/>
      <c r="S39" s="177"/>
    </row>
    <row r="40" spans="2:20" ht="15" customHeight="1" x14ac:dyDescent="0.25">
      <c r="B40" s="17" t="s">
        <v>39</v>
      </c>
      <c r="C40" s="98" t="s">
        <v>2</v>
      </c>
      <c r="D40" s="98"/>
      <c r="E40" s="98" t="s">
        <v>34</v>
      </c>
      <c r="F40" s="98" t="s">
        <v>35</v>
      </c>
      <c r="G40" s="123"/>
      <c r="H40" s="123"/>
      <c r="I40" s="117"/>
      <c r="J40" s="98"/>
      <c r="K40" s="98"/>
      <c r="L40" s="98" t="s">
        <v>36</v>
      </c>
      <c r="M40" s="98" t="s">
        <v>37</v>
      </c>
      <c r="N40" s="10"/>
      <c r="O40" s="10"/>
      <c r="P40" s="10"/>
      <c r="Q40" s="54" t="s">
        <v>88</v>
      </c>
      <c r="R40" s="54"/>
      <c r="S40" s="55"/>
    </row>
    <row r="41" spans="2:20" ht="15" customHeight="1" x14ac:dyDescent="0.25">
      <c r="B41" s="65"/>
      <c r="C41" s="9"/>
      <c r="D41" s="9"/>
      <c r="E41" s="9"/>
      <c r="F41" s="9"/>
      <c r="G41" s="9"/>
      <c r="H41" s="9"/>
      <c r="I41" s="9"/>
      <c r="J41" s="9"/>
      <c r="K41" s="9"/>
      <c r="L41" s="9"/>
      <c r="M41" s="9"/>
      <c r="Q41" s="58"/>
      <c r="R41" s="51"/>
      <c r="S41" s="51"/>
    </row>
    <row r="42" spans="2:20" x14ac:dyDescent="0.25">
      <c r="B42" s="65"/>
      <c r="C42" s="9"/>
      <c r="D42" s="9"/>
      <c r="E42" s="9"/>
      <c r="F42" s="9"/>
      <c r="G42" s="9"/>
      <c r="H42" s="9"/>
      <c r="I42" s="9"/>
      <c r="J42" s="9"/>
      <c r="K42" s="9"/>
      <c r="L42" s="9"/>
      <c r="M42" s="9"/>
      <c r="R42" s="51"/>
      <c r="S42" s="51"/>
    </row>
    <row r="43" spans="2:20" x14ac:dyDescent="0.25">
      <c r="B43" s="65"/>
      <c r="C43" s="9"/>
      <c r="D43" s="9"/>
      <c r="E43" s="9"/>
      <c r="F43" s="9"/>
      <c r="G43" s="9"/>
      <c r="H43" s="9"/>
      <c r="I43" s="9"/>
      <c r="J43" s="9"/>
      <c r="K43" s="9"/>
      <c r="L43" s="9"/>
      <c r="M43" s="9"/>
      <c r="Q43" s="58"/>
      <c r="R43" s="51"/>
      <c r="S43" s="51"/>
    </row>
    <row r="44" spans="2:20" x14ac:dyDescent="0.25">
      <c r="B44" s="65"/>
      <c r="C44" s="9"/>
      <c r="D44" s="9"/>
      <c r="E44" s="9"/>
      <c r="F44" s="9"/>
      <c r="G44" s="9"/>
      <c r="H44" s="9"/>
      <c r="I44" s="9"/>
      <c r="J44" s="9"/>
      <c r="K44" s="9"/>
      <c r="L44" s="9"/>
      <c r="M44" s="9"/>
      <c r="Q44" s="58"/>
      <c r="R44" s="51"/>
      <c r="S44" s="51"/>
    </row>
    <row r="45" spans="2:20" x14ac:dyDescent="0.25">
      <c r="B45" s="65"/>
      <c r="C45" s="9"/>
      <c r="D45" s="9"/>
      <c r="E45" s="9"/>
      <c r="F45" s="9"/>
      <c r="G45" s="9"/>
      <c r="H45" s="9"/>
      <c r="I45" s="9"/>
      <c r="J45" s="9"/>
      <c r="K45" s="9"/>
      <c r="L45" s="9"/>
      <c r="M45" s="9"/>
      <c r="R45" s="51"/>
      <c r="S45" s="51"/>
    </row>
    <row r="46" spans="2:20" x14ac:dyDescent="0.25">
      <c r="B46" s="12"/>
      <c r="C46" s="13"/>
      <c r="D46" s="13"/>
      <c r="E46" s="41"/>
      <c r="F46" s="15"/>
      <c r="G46" s="15"/>
      <c r="H46" s="15"/>
      <c r="I46" s="15"/>
      <c r="J46" s="15"/>
      <c r="K46" s="15"/>
      <c r="L46" s="16"/>
      <c r="M46" s="20"/>
      <c r="N46" s="46"/>
      <c r="O46" s="46"/>
      <c r="P46" s="46"/>
      <c r="Q46" s="51"/>
      <c r="R46" s="51"/>
      <c r="S46" s="51"/>
      <c r="T46" s="51"/>
    </row>
    <row r="47" spans="2:20" ht="15" customHeight="1" x14ac:dyDescent="0.25">
      <c r="B47" s="12"/>
      <c r="C47" s="13"/>
      <c r="D47" s="13"/>
      <c r="E47" s="41"/>
      <c r="F47" s="15"/>
      <c r="G47" s="15"/>
      <c r="H47" s="15"/>
      <c r="I47" s="15"/>
      <c r="J47" s="15"/>
      <c r="K47" s="15"/>
      <c r="L47" s="16"/>
      <c r="M47" s="20"/>
      <c r="N47" s="18"/>
      <c r="O47" s="18"/>
      <c r="P47" s="18"/>
      <c r="T47" s="51"/>
    </row>
    <row r="48" spans="2:20" x14ac:dyDescent="0.25">
      <c r="B48" s="36"/>
      <c r="C48" s="40"/>
      <c r="D48" s="40"/>
      <c r="E48" s="41"/>
      <c r="F48" s="38"/>
      <c r="G48" s="38"/>
      <c r="H48" s="38"/>
      <c r="I48" s="38"/>
      <c r="J48" s="38"/>
      <c r="K48" s="38"/>
      <c r="L48" s="39"/>
      <c r="M48" s="34"/>
      <c r="N48" s="107"/>
      <c r="O48" s="29"/>
      <c r="P48" s="29"/>
    </row>
    <row r="49" spans="2:19" x14ac:dyDescent="0.25">
      <c r="C49" s="40"/>
      <c r="D49" s="40"/>
      <c r="E49" s="41"/>
      <c r="F49" s="71"/>
      <c r="G49" s="71"/>
      <c r="H49" s="71"/>
      <c r="I49" s="71"/>
      <c r="J49" s="71"/>
      <c r="K49" s="71"/>
      <c r="L49" s="33"/>
      <c r="M49" s="31"/>
      <c r="N49" s="107"/>
    </row>
    <row r="50" spans="2:19" x14ac:dyDescent="0.25">
      <c r="C50" s="40"/>
      <c r="D50" s="40"/>
      <c r="E50" s="41"/>
      <c r="F50" s="71"/>
      <c r="G50" s="71"/>
      <c r="H50" s="71"/>
      <c r="I50" s="71"/>
      <c r="J50" s="71"/>
      <c r="K50" s="71"/>
      <c r="L50" s="33"/>
      <c r="M50" s="31"/>
      <c r="N50" s="108"/>
      <c r="Q50" s="325" t="s">
        <v>343</v>
      </c>
      <c r="R50" s="325"/>
      <c r="S50" s="329">
        <f>S16</f>
        <v>241887.61</v>
      </c>
    </row>
    <row r="51" spans="2:19" x14ac:dyDescent="0.25">
      <c r="C51" s="40"/>
      <c r="D51" s="40"/>
      <c r="E51" s="41"/>
      <c r="F51" s="71"/>
      <c r="G51" s="71"/>
      <c r="H51" s="71"/>
      <c r="I51" s="71"/>
      <c r="J51" s="71"/>
      <c r="K51" s="71"/>
      <c r="L51" s="33"/>
      <c r="M51" s="35"/>
      <c r="N51" s="37"/>
      <c r="O51" s="37"/>
      <c r="P51" s="29"/>
    </row>
    <row r="52" spans="2:19" ht="15" customHeight="1" x14ac:dyDescent="0.25">
      <c r="B52" s="36"/>
      <c r="C52" s="40"/>
      <c r="D52" s="40"/>
      <c r="E52" s="41"/>
      <c r="F52" s="38"/>
      <c r="G52" s="38"/>
      <c r="H52" s="38"/>
      <c r="I52" s="38"/>
      <c r="J52" s="38"/>
      <c r="K52" s="38"/>
      <c r="L52" s="33"/>
      <c r="M52" s="31"/>
      <c r="N52" s="101"/>
      <c r="O52" s="101"/>
      <c r="P52" s="29"/>
    </row>
    <row r="53" spans="2:19" x14ac:dyDescent="0.25">
      <c r="B53" s="36"/>
      <c r="C53" s="40"/>
      <c r="D53" s="40"/>
      <c r="E53" s="41"/>
      <c r="F53" s="38"/>
      <c r="G53" s="38"/>
      <c r="H53" s="38"/>
      <c r="I53" s="38"/>
      <c r="J53" s="38"/>
      <c r="K53" s="38"/>
      <c r="L53" s="33"/>
      <c r="M53" s="31"/>
      <c r="N53" s="101"/>
      <c r="O53" s="101"/>
      <c r="P53" s="29"/>
    </row>
    <row r="54" spans="2:19" x14ac:dyDescent="0.25">
      <c r="B54" s="36"/>
      <c r="C54" s="40"/>
      <c r="D54" s="40"/>
      <c r="E54" s="41"/>
      <c r="F54" s="38"/>
      <c r="G54" s="38"/>
      <c r="H54" s="38"/>
      <c r="I54" s="38"/>
      <c r="J54" s="38"/>
      <c r="K54" s="38"/>
      <c r="L54" s="33"/>
      <c r="M54" s="31"/>
      <c r="N54" s="101"/>
      <c r="O54" s="101"/>
      <c r="P54" s="29"/>
    </row>
    <row r="55" spans="2:19" ht="16.5" customHeight="1" x14ac:dyDescent="0.25">
      <c r="B55" s="36"/>
      <c r="C55" s="40"/>
      <c r="D55" s="40"/>
      <c r="E55" s="41"/>
      <c r="F55" s="38"/>
      <c r="G55" s="38"/>
      <c r="H55" s="38"/>
      <c r="I55" s="38"/>
      <c r="J55" s="38"/>
      <c r="K55" s="38"/>
      <c r="L55" s="39"/>
      <c r="M55" s="20"/>
      <c r="N55" s="101"/>
      <c r="O55" s="101"/>
      <c r="P55" s="29"/>
    </row>
    <row r="56" spans="2:19" ht="15" hidden="1" customHeight="1" x14ac:dyDescent="0.25"/>
    <row r="57" spans="2:19" ht="15" customHeight="1" x14ac:dyDescent="0.25">
      <c r="E57" s="21"/>
      <c r="F57" s="105"/>
      <c r="G57" s="105"/>
      <c r="H57" s="105"/>
      <c r="I57" s="105"/>
      <c r="J57" s="105"/>
      <c r="K57" s="105"/>
    </row>
    <row r="60" spans="2:19" ht="15" customHeight="1" x14ac:dyDescent="0.25"/>
  </sheetData>
  <mergeCells count="7">
    <mergeCell ref="B36:H36"/>
    <mergeCell ref="B24:F24"/>
    <mergeCell ref="Q1:S1"/>
    <mergeCell ref="Q2:S2"/>
    <mergeCell ref="B23:F23"/>
    <mergeCell ref="B19:F19"/>
    <mergeCell ref="B21:F21"/>
  </mergeCells>
  <hyperlinks>
    <hyperlink ref="B24" r:id="rId1"/>
  </hyperlinks>
  <printOptions horizontalCentered="1" gridLines="1"/>
  <pageMargins left="0" right="0" top="0.75" bottom="0.75" header="0.3" footer="0.3"/>
  <pageSetup scale="52" orientation="landscape" horizontalDpi="1200" verticalDpi="1200"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0"/>
  <sheetViews>
    <sheetView topLeftCell="C16" zoomScale="90" zoomScaleNormal="90" workbookViewId="0">
      <selection activeCell="S50" sqref="S50"/>
    </sheetView>
  </sheetViews>
  <sheetFormatPr defaultColWidth="9.140625" defaultRowHeight="15" x14ac:dyDescent="0.25"/>
  <cols>
    <col min="1" max="1" width="9.140625" style="2" hidden="1" customWidth="1"/>
    <col min="2" max="2" width="58.5703125" style="2" customWidth="1"/>
    <col min="3" max="3" width="26" style="2" customWidth="1"/>
    <col min="4" max="4" width="13.7109375" style="2" customWidth="1"/>
    <col min="5" max="5" width="17" style="2" bestFit="1" customWidth="1"/>
    <col min="6" max="6" width="21.5703125" style="2" customWidth="1"/>
    <col min="7" max="7" width="11.42578125" style="2" customWidth="1"/>
    <col min="8" max="8" width="14" style="2" customWidth="1"/>
    <col min="9" max="9" width="13.28515625" style="2" customWidth="1"/>
    <col min="10" max="10" width="15.140625" style="2" customWidth="1"/>
    <col min="11" max="11" width="8" style="2" customWidth="1"/>
    <col min="12" max="12" width="18"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6.7109375" style="2" customWidth="1"/>
    <col min="20" max="16384" width="9.140625" style="2"/>
  </cols>
  <sheetData>
    <row r="1" spans="1:20" ht="14.45" customHeight="1" x14ac:dyDescent="0.25">
      <c r="A1" s="2" t="s">
        <v>342</v>
      </c>
      <c r="B1" s="8" t="s">
        <v>210</v>
      </c>
      <c r="Q1" s="335" t="s">
        <v>230</v>
      </c>
      <c r="R1" s="335"/>
      <c r="S1" s="335"/>
    </row>
    <row r="2" spans="1:20" x14ac:dyDescent="0.25">
      <c r="B2" s="90" t="s">
        <v>148</v>
      </c>
      <c r="C2" s="187">
        <v>44377</v>
      </c>
      <c r="M2" s="73"/>
      <c r="N2" s="73"/>
      <c r="P2" s="29"/>
      <c r="Q2" s="334" t="s">
        <v>338</v>
      </c>
      <c r="R2" s="334"/>
      <c r="S2" s="334"/>
    </row>
    <row r="3" spans="1:20" ht="15.75" thickBot="1" x14ac:dyDescent="0.3">
      <c r="A3" s="2" t="s">
        <v>16</v>
      </c>
      <c r="B3" s="44" t="s">
        <v>98</v>
      </c>
      <c r="C3" s="8"/>
      <c r="D3" s="8"/>
      <c r="E3" s="8"/>
      <c r="P3" s="29"/>
      <c r="Q3" s="45"/>
      <c r="R3" s="30"/>
    </row>
    <row r="4" spans="1:20" x14ac:dyDescent="0.25">
      <c r="B4" s="8" t="s">
        <v>174</v>
      </c>
      <c r="M4" s="87" t="s">
        <v>28</v>
      </c>
      <c r="N4" s="87" t="s">
        <v>28</v>
      </c>
      <c r="O4" s="87" t="s">
        <v>28</v>
      </c>
      <c r="P4" s="9"/>
      <c r="Q4" s="91" t="s">
        <v>29</v>
      </c>
      <c r="R4" s="91" t="s">
        <v>31</v>
      </c>
      <c r="S4" s="91" t="s">
        <v>23</v>
      </c>
      <c r="T4" s="7"/>
    </row>
    <row r="5" spans="1:20" ht="15.75" thickBot="1" x14ac:dyDescent="0.3">
      <c r="G5" s="188" t="s">
        <v>231</v>
      </c>
      <c r="H5" s="188" t="s">
        <v>231</v>
      </c>
      <c r="M5" s="88" t="s">
        <v>27</v>
      </c>
      <c r="N5" s="88" t="s">
        <v>26</v>
      </c>
      <c r="O5" s="88" t="s">
        <v>25</v>
      </c>
      <c r="P5" s="9"/>
      <c r="Q5" s="92" t="s">
        <v>30</v>
      </c>
      <c r="R5" s="92" t="s">
        <v>30</v>
      </c>
      <c r="S5" s="92" t="s">
        <v>30</v>
      </c>
      <c r="T5" s="7"/>
    </row>
    <row r="6" spans="1:20" ht="85.5" customHeight="1" thickBot="1" x14ac:dyDescent="0.3">
      <c r="B6" s="86" t="s">
        <v>1</v>
      </c>
      <c r="C6" s="86" t="s">
        <v>127</v>
      </c>
      <c r="D6" s="86" t="s">
        <v>107</v>
      </c>
      <c r="E6" s="86" t="s">
        <v>3</v>
      </c>
      <c r="F6" s="86" t="s">
        <v>4</v>
      </c>
      <c r="G6" s="110" t="s">
        <v>136</v>
      </c>
      <c r="H6" s="110" t="s">
        <v>137</v>
      </c>
      <c r="I6" s="110" t="s">
        <v>133</v>
      </c>
      <c r="J6" s="110" t="s">
        <v>134</v>
      </c>
      <c r="K6" s="110" t="s">
        <v>121</v>
      </c>
      <c r="L6" s="85" t="s">
        <v>5</v>
      </c>
      <c r="M6" s="89" t="s">
        <v>6</v>
      </c>
      <c r="N6" s="89" t="s">
        <v>6</v>
      </c>
      <c r="O6" s="89" t="s">
        <v>6</v>
      </c>
      <c r="P6" s="9"/>
      <c r="Q6" s="93"/>
      <c r="R6" s="99" t="s">
        <v>32</v>
      </c>
      <c r="S6" s="100" t="s">
        <v>33</v>
      </c>
    </row>
    <row r="7" spans="1:20" ht="33.6" customHeight="1" x14ac:dyDescent="0.25">
      <c r="B7" s="2" t="s">
        <v>128</v>
      </c>
      <c r="C7" s="231" t="s">
        <v>122</v>
      </c>
      <c r="D7" s="95" t="s">
        <v>248</v>
      </c>
      <c r="E7" s="2" t="s">
        <v>233</v>
      </c>
      <c r="F7" s="2" t="s">
        <v>7</v>
      </c>
      <c r="G7" s="191">
        <v>2.9600000000000001E-2</v>
      </c>
      <c r="H7" s="191">
        <v>0.1744</v>
      </c>
      <c r="I7" s="192">
        <v>44377</v>
      </c>
      <c r="J7" s="192">
        <v>44378</v>
      </c>
      <c r="K7" s="192">
        <v>44013</v>
      </c>
      <c r="L7" s="193" t="s">
        <v>234</v>
      </c>
      <c r="M7" s="6">
        <v>36623.269999999997</v>
      </c>
      <c r="N7" s="69"/>
      <c r="O7" s="69">
        <f>M7+N7</f>
        <v>36623.269999999997</v>
      </c>
      <c r="P7" s="69"/>
      <c r="Q7" s="69">
        <v>36623.269999999997</v>
      </c>
      <c r="R7" s="69"/>
      <c r="S7" s="70">
        <f>+Q7+R7</f>
        <v>36623.269999999997</v>
      </c>
    </row>
    <row r="8" spans="1:20" ht="33.6" customHeight="1" x14ac:dyDescent="0.25">
      <c r="B8" s="2" t="s">
        <v>241</v>
      </c>
      <c r="C8" s="243" t="s">
        <v>242</v>
      </c>
      <c r="D8" s="95" t="s">
        <v>243</v>
      </c>
      <c r="E8" s="2" t="s">
        <v>244</v>
      </c>
      <c r="F8" s="2" t="s">
        <v>7</v>
      </c>
      <c r="G8" s="191">
        <v>2.9600000000000001E-2</v>
      </c>
      <c r="H8" s="191">
        <v>0.1744</v>
      </c>
      <c r="I8" s="192">
        <v>44834</v>
      </c>
      <c r="J8" s="192">
        <v>44849</v>
      </c>
      <c r="K8" s="192">
        <v>43614</v>
      </c>
      <c r="L8" s="193" t="s">
        <v>311</v>
      </c>
      <c r="M8" s="6">
        <v>204781.78</v>
      </c>
      <c r="N8" s="69"/>
      <c r="O8" s="69">
        <f>M8+N8</f>
        <v>204781.78</v>
      </c>
      <c r="P8" s="69"/>
      <c r="Q8" s="69">
        <v>170079.78</v>
      </c>
      <c r="R8" s="69"/>
      <c r="S8" s="70">
        <f>+Q8+R8</f>
        <v>170079.78</v>
      </c>
    </row>
    <row r="9" spans="1:20" ht="33.6" customHeight="1" x14ac:dyDescent="0.25">
      <c r="B9" s="2" t="s">
        <v>283</v>
      </c>
      <c r="C9" s="243" t="s">
        <v>264</v>
      </c>
      <c r="D9" s="95" t="s">
        <v>254</v>
      </c>
      <c r="E9" s="2" t="s">
        <v>284</v>
      </c>
      <c r="F9" s="2" t="s">
        <v>7</v>
      </c>
      <c r="G9" s="191">
        <f t="shared" ref="G9:H9" si="0">+G8</f>
        <v>2.9600000000000001E-2</v>
      </c>
      <c r="H9" s="191">
        <f t="shared" si="0"/>
        <v>0.1744</v>
      </c>
      <c r="I9" s="192">
        <v>44377</v>
      </c>
      <c r="J9" s="192">
        <v>44392</v>
      </c>
      <c r="K9" s="192">
        <v>43613</v>
      </c>
      <c r="L9" s="193" t="s">
        <v>234</v>
      </c>
      <c r="M9" s="81">
        <v>7302.48</v>
      </c>
      <c r="N9" s="69"/>
      <c r="O9" s="69">
        <f>M9+N9</f>
        <v>7302.48</v>
      </c>
      <c r="P9" s="69"/>
      <c r="Q9" s="69">
        <f>7302.48-7302.48</f>
        <v>0</v>
      </c>
      <c r="R9" s="69"/>
      <c r="S9" s="70">
        <f>Q9+R9</f>
        <v>0</v>
      </c>
    </row>
    <row r="10" spans="1:20" ht="33.6" customHeight="1" x14ac:dyDescent="0.25">
      <c r="B10" s="2" t="s">
        <v>314</v>
      </c>
      <c r="C10" s="243" t="s">
        <v>242</v>
      </c>
      <c r="D10" s="95" t="s">
        <v>243</v>
      </c>
      <c r="E10" s="2" t="s">
        <v>315</v>
      </c>
      <c r="F10" s="2" t="s">
        <v>7</v>
      </c>
      <c r="G10" s="313">
        <f>+G8</f>
        <v>2.9600000000000001E-2</v>
      </c>
      <c r="H10" s="313">
        <f>+H8</f>
        <v>0.1744</v>
      </c>
      <c r="I10" s="312">
        <v>44773</v>
      </c>
      <c r="J10" s="312">
        <v>44788</v>
      </c>
      <c r="K10" s="192">
        <v>43980</v>
      </c>
      <c r="L10" s="193" t="s">
        <v>316</v>
      </c>
      <c r="M10" s="81">
        <v>9494</v>
      </c>
      <c r="N10" s="72"/>
      <c r="O10" s="69">
        <f>M10+N10</f>
        <v>9494</v>
      </c>
      <c r="P10" s="69"/>
      <c r="Q10" s="69"/>
      <c r="R10" s="69"/>
      <c r="S10" s="70">
        <f>Q10+R10</f>
        <v>0</v>
      </c>
    </row>
    <row r="11" spans="1:20" ht="33.6" customHeight="1" x14ac:dyDescent="0.25">
      <c r="B11" s="2" t="s">
        <v>318</v>
      </c>
      <c r="C11" s="243" t="s">
        <v>242</v>
      </c>
      <c r="D11" s="95" t="s">
        <v>243</v>
      </c>
      <c r="E11" s="2" t="s">
        <v>319</v>
      </c>
      <c r="F11" s="2" t="s">
        <v>7</v>
      </c>
      <c r="G11" s="191">
        <v>2.9600000000000001E-2</v>
      </c>
      <c r="H11" s="191">
        <v>0.1744</v>
      </c>
      <c r="I11" s="192">
        <v>44561</v>
      </c>
      <c r="J11" s="192">
        <v>44576</v>
      </c>
      <c r="K11" s="192">
        <v>43980</v>
      </c>
      <c r="L11" s="193" t="s">
        <v>320</v>
      </c>
      <c r="M11" s="81">
        <v>3000</v>
      </c>
      <c r="N11" s="69"/>
      <c r="O11" s="69">
        <f t="shared" ref="O11:O13" si="1">M11+N11</f>
        <v>3000</v>
      </c>
      <c r="P11" s="68"/>
      <c r="Q11" s="69"/>
      <c r="R11" s="69"/>
      <c r="S11" s="70">
        <f t="shared" ref="S11:S13" si="2">Q11+R11</f>
        <v>0</v>
      </c>
    </row>
    <row r="12" spans="1:20" ht="33.6" customHeight="1" x14ac:dyDescent="0.25">
      <c r="B12" s="2" t="s">
        <v>321</v>
      </c>
      <c r="C12" s="243" t="s">
        <v>264</v>
      </c>
      <c r="D12" s="95" t="s">
        <v>254</v>
      </c>
      <c r="E12" s="2" t="s">
        <v>322</v>
      </c>
      <c r="F12" s="2" t="s">
        <v>7</v>
      </c>
      <c r="G12" s="191">
        <v>2.9600000000000001E-2</v>
      </c>
      <c r="H12" s="191">
        <v>0.1744</v>
      </c>
      <c r="I12" s="192">
        <v>44742</v>
      </c>
      <c r="J12" s="192">
        <v>44757</v>
      </c>
      <c r="K12" s="192">
        <v>43979</v>
      </c>
      <c r="L12" s="193" t="s">
        <v>323</v>
      </c>
      <c r="M12" s="81">
        <v>1027</v>
      </c>
      <c r="N12" s="69"/>
      <c r="O12" s="69">
        <f t="shared" si="1"/>
        <v>1027</v>
      </c>
      <c r="P12" s="68"/>
      <c r="Q12" s="69"/>
      <c r="R12" s="69"/>
      <c r="S12" s="70">
        <f t="shared" si="2"/>
        <v>0</v>
      </c>
    </row>
    <row r="13" spans="1:20" ht="33.6" customHeight="1" x14ac:dyDescent="0.25">
      <c r="B13" s="2" t="s">
        <v>327</v>
      </c>
      <c r="C13" s="243" t="s">
        <v>242</v>
      </c>
      <c r="D13" s="95" t="s">
        <v>328</v>
      </c>
      <c r="E13" s="2" t="s">
        <v>329</v>
      </c>
      <c r="F13" s="2" t="s">
        <v>7</v>
      </c>
      <c r="G13" s="191">
        <v>2.9600000000000001E-2</v>
      </c>
      <c r="H13" s="191">
        <v>0.1744</v>
      </c>
      <c r="I13" s="192">
        <v>44440</v>
      </c>
      <c r="J13" s="192">
        <v>44440</v>
      </c>
      <c r="K13" s="192">
        <v>44201</v>
      </c>
      <c r="L13" s="193" t="s">
        <v>330</v>
      </c>
      <c r="M13" s="81">
        <v>401614.69</v>
      </c>
      <c r="N13" s="69"/>
      <c r="O13" s="69">
        <f t="shared" si="1"/>
        <v>401614.69</v>
      </c>
      <c r="P13" s="68"/>
      <c r="Q13" s="69"/>
      <c r="R13" s="69"/>
      <c r="S13" s="70">
        <f t="shared" si="2"/>
        <v>0</v>
      </c>
    </row>
    <row r="14" spans="1:20" x14ac:dyDescent="0.25">
      <c r="G14" s="191"/>
      <c r="H14" s="191"/>
      <c r="I14" s="192"/>
      <c r="J14" s="192"/>
      <c r="K14" s="192"/>
      <c r="L14" s="193"/>
      <c r="M14" s="10"/>
      <c r="N14" s="10"/>
      <c r="O14" s="10"/>
      <c r="P14" s="29"/>
      <c r="Q14" s="10"/>
      <c r="R14" s="10"/>
      <c r="S14" s="28"/>
    </row>
    <row r="15" spans="1:20" ht="27.75" customHeight="1" x14ac:dyDescent="0.25">
      <c r="C15" s="94"/>
      <c r="D15" s="94"/>
      <c r="G15" s="126"/>
      <c r="H15" s="127"/>
      <c r="I15" s="119"/>
      <c r="J15" s="119"/>
      <c r="K15" s="119" t="s">
        <v>100</v>
      </c>
      <c r="L15" s="5" t="s">
        <v>38</v>
      </c>
      <c r="M15" s="68">
        <f>SUM(M7:M14)</f>
        <v>663843.22</v>
      </c>
      <c r="N15" s="78">
        <f>SUM(N7:N14)</f>
        <v>0</v>
      </c>
      <c r="O15" s="68">
        <f>SUM(O7:O14)</f>
        <v>663843.22</v>
      </c>
      <c r="Q15" s="68">
        <f>SUM(Q7:Q14)</f>
        <v>206703.05</v>
      </c>
      <c r="R15" s="68">
        <f>SUM(R7:R14)</f>
        <v>0</v>
      </c>
      <c r="S15" s="70">
        <f>SUM(S7:S14)</f>
        <v>206703.05</v>
      </c>
    </row>
    <row r="16" spans="1:20" ht="19.5" customHeight="1" x14ac:dyDescent="0.25">
      <c r="C16" s="94"/>
      <c r="D16" s="94"/>
      <c r="I16" s="119"/>
      <c r="J16" s="119"/>
      <c r="K16" s="119"/>
      <c r="S16" s="27"/>
    </row>
    <row r="17" spans="2:19" x14ac:dyDescent="0.25">
      <c r="C17" s="94"/>
      <c r="D17" s="94"/>
      <c r="L17" s="5"/>
      <c r="M17" s="68"/>
      <c r="N17" s="68"/>
      <c r="O17" s="68"/>
      <c r="Q17" s="68"/>
      <c r="R17" s="68"/>
      <c r="S17" s="70"/>
    </row>
    <row r="18" spans="2:19" x14ac:dyDescent="0.25">
      <c r="B18" s="8" t="s">
        <v>125</v>
      </c>
      <c r="C18" s="94"/>
      <c r="D18" s="94"/>
      <c r="L18" s="5"/>
      <c r="M18" s="68"/>
      <c r="N18" s="68"/>
      <c r="O18" s="68"/>
      <c r="Q18" s="68"/>
      <c r="R18" s="68"/>
      <c r="S18" s="70"/>
    </row>
    <row r="19" spans="2:19" ht="37.5" customHeight="1" x14ac:dyDescent="0.25">
      <c r="B19" s="338" t="s">
        <v>126</v>
      </c>
      <c r="C19" s="338"/>
      <c r="D19" s="338"/>
      <c r="E19" s="338"/>
      <c r="F19" s="338"/>
      <c r="L19" s="5"/>
      <c r="M19" s="68"/>
      <c r="N19" s="68"/>
      <c r="O19" s="68"/>
      <c r="Q19" s="68"/>
      <c r="R19" s="68"/>
      <c r="S19" s="70"/>
    </row>
    <row r="20" spans="2:19" x14ac:dyDescent="0.25">
      <c r="C20" s="94"/>
      <c r="D20" s="94"/>
      <c r="L20" s="5"/>
      <c r="M20" s="68"/>
      <c r="N20" s="68"/>
      <c r="O20" s="68"/>
      <c r="Q20" s="68"/>
      <c r="R20" s="68"/>
      <c r="S20" s="70"/>
    </row>
    <row r="21" spans="2:19" ht="48.75" customHeight="1" x14ac:dyDescent="0.25">
      <c r="B21" s="338" t="s">
        <v>129</v>
      </c>
      <c r="C21" s="338"/>
      <c r="D21" s="338"/>
      <c r="E21" s="338"/>
      <c r="F21" s="338"/>
      <c r="L21" s="5"/>
      <c r="M21" s="68"/>
      <c r="N21" s="68"/>
      <c r="O21" s="68"/>
      <c r="Q21" s="68"/>
      <c r="R21" s="68"/>
      <c r="S21" s="70"/>
    </row>
    <row r="22" spans="2:19" x14ac:dyDescent="0.25">
      <c r="B22" s="198"/>
      <c r="C22" s="198"/>
      <c r="D22" s="198"/>
      <c r="E22" s="198"/>
      <c r="L22" s="5"/>
      <c r="M22" s="68"/>
      <c r="N22" s="68"/>
      <c r="O22" s="68"/>
      <c r="Q22" s="68"/>
      <c r="R22" s="68"/>
      <c r="S22" s="70"/>
    </row>
    <row r="23" spans="2:19" ht="33.75" customHeight="1" x14ac:dyDescent="0.25">
      <c r="B23" s="338" t="s">
        <v>160</v>
      </c>
      <c r="C23" s="338"/>
      <c r="D23" s="338"/>
      <c r="E23" s="338"/>
      <c r="F23" s="338"/>
      <c r="L23" s="5"/>
      <c r="M23" s="68"/>
      <c r="N23" s="68"/>
      <c r="O23" s="68"/>
      <c r="Q23" s="68"/>
      <c r="R23" s="68"/>
      <c r="S23" s="70"/>
    </row>
    <row r="24" spans="2:19" ht="15" customHeight="1" x14ac:dyDescent="0.25">
      <c r="B24" s="346" t="s">
        <v>159</v>
      </c>
      <c r="C24" s="338"/>
      <c r="D24" s="338"/>
      <c r="E24" s="338"/>
      <c r="F24" s="338"/>
      <c r="L24" s="5"/>
      <c r="M24" s="68"/>
      <c r="N24" s="68"/>
      <c r="O24" s="68"/>
      <c r="Q24" s="68"/>
      <c r="R24" s="68"/>
      <c r="S24" s="70"/>
    </row>
    <row r="25" spans="2:19" ht="15" customHeight="1" x14ac:dyDescent="0.25">
      <c r="B25" s="200"/>
      <c r="C25" s="200"/>
      <c r="D25" s="200"/>
      <c r="E25" s="200"/>
      <c r="L25" s="5"/>
      <c r="M25" s="68"/>
      <c r="N25" s="68"/>
      <c r="O25" s="68"/>
      <c r="Q25" s="68"/>
      <c r="R25" s="68"/>
      <c r="S25" s="70"/>
    </row>
    <row r="26" spans="2:19" x14ac:dyDescent="0.25">
      <c r="B26" s="111"/>
      <c r="C26" s="111"/>
      <c r="D26" s="111"/>
      <c r="E26" s="111"/>
      <c r="L26" s="5"/>
      <c r="M26" s="68"/>
      <c r="N26" s="68"/>
      <c r="O26" s="68"/>
      <c r="Q26" s="68"/>
      <c r="R26" s="68"/>
      <c r="S26" s="70"/>
    </row>
    <row r="27" spans="2:19" x14ac:dyDescent="0.25">
      <c r="B27" s="7" t="s">
        <v>109</v>
      </c>
      <c r="C27" s="104" t="s">
        <v>112</v>
      </c>
      <c r="D27" s="104" t="s">
        <v>113</v>
      </c>
      <c r="E27" s="111"/>
      <c r="L27" s="5"/>
      <c r="M27" s="68"/>
      <c r="N27" s="68"/>
      <c r="O27" s="68"/>
      <c r="Q27" s="68"/>
      <c r="R27" s="68"/>
      <c r="S27" s="70"/>
    </row>
    <row r="28" spans="2:19" x14ac:dyDescent="0.25">
      <c r="B28" s="106" t="s">
        <v>111</v>
      </c>
      <c r="C28" s="94" t="s">
        <v>114</v>
      </c>
      <c r="D28" s="94" t="s">
        <v>119</v>
      </c>
      <c r="L28" s="5"/>
      <c r="M28" s="68"/>
      <c r="N28" s="68"/>
      <c r="O28" s="68"/>
      <c r="Q28" s="68"/>
      <c r="R28" s="68"/>
      <c r="S28" s="70"/>
    </row>
    <row r="29" spans="2:19" x14ac:dyDescent="0.25">
      <c r="B29" s="2" t="s">
        <v>252</v>
      </c>
      <c r="C29" s="94" t="s">
        <v>135</v>
      </c>
      <c r="D29" s="94" t="s">
        <v>147</v>
      </c>
      <c r="L29" s="5"/>
      <c r="M29" s="68"/>
      <c r="N29" s="68"/>
      <c r="O29" s="68"/>
      <c r="Q29" s="68"/>
      <c r="R29" s="68"/>
      <c r="S29" s="70"/>
    </row>
    <row r="30" spans="2:19" x14ac:dyDescent="0.25">
      <c r="B30" s="2" t="s">
        <v>260</v>
      </c>
      <c r="C30" s="94" t="s">
        <v>135</v>
      </c>
      <c r="D30" s="94" t="s">
        <v>147</v>
      </c>
      <c r="L30" s="5"/>
      <c r="M30" s="68"/>
      <c r="N30" s="68"/>
      <c r="O30" s="68"/>
      <c r="Q30" s="68"/>
      <c r="R30" s="68"/>
      <c r="S30" s="70"/>
    </row>
    <row r="31" spans="2:19" x14ac:dyDescent="0.25">
      <c r="B31" s="2" t="s">
        <v>314</v>
      </c>
      <c r="C31" s="94" t="s">
        <v>135</v>
      </c>
      <c r="D31" s="94" t="s">
        <v>147</v>
      </c>
      <c r="L31" s="5"/>
      <c r="M31" s="68"/>
      <c r="N31" s="68"/>
      <c r="O31" s="68"/>
      <c r="Q31" s="68"/>
      <c r="R31" s="68"/>
      <c r="S31" s="70"/>
    </row>
    <row r="32" spans="2:19" x14ac:dyDescent="0.25">
      <c r="B32" s="2" t="s">
        <v>318</v>
      </c>
      <c r="C32" s="94" t="s">
        <v>135</v>
      </c>
      <c r="D32" s="94" t="s">
        <v>147</v>
      </c>
      <c r="L32" s="5"/>
      <c r="M32" s="68"/>
      <c r="N32" s="68"/>
      <c r="O32" s="68"/>
      <c r="Q32" s="68"/>
      <c r="R32" s="68"/>
      <c r="S32" s="70"/>
    </row>
    <row r="33" spans="1:20" x14ac:dyDescent="0.25">
      <c r="B33" s="2" t="s">
        <v>321</v>
      </c>
      <c r="C33" s="94" t="s">
        <v>135</v>
      </c>
      <c r="D33" s="94" t="s">
        <v>147</v>
      </c>
      <c r="L33" s="5"/>
      <c r="M33" s="68"/>
      <c r="N33" s="68"/>
      <c r="O33" s="68"/>
      <c r="Q33" s="68"/>
      <c r="R33" s="68"/>
      <c r="S33" s="70"/>
    </row>
    <row r="34" spans="1:20" x14ac:dyDescent="0.25">
      <c r="B34" s="2" t="s">
        <v>326</v>
      </c>
      <c r="C34" s="94" t="s">
        <v>135</v>
      </c>
      <c r="D34" s="94" t="s">
        <v>147</v>
      </c>
      <c r="L34" s="5"/>
      <c r="M34" s="68"/>
      <c r="N34" s="68"/>
      <c r="O34" s="68"/>
      <c r="Q34" s="68"/>
      <c r="R34" s="68"/>
      <c r="S34" s="70"/>
    </row>
    <row r="35" spans="1:20" x14ac:dyDescent="0.25">
      <c r="C35" s="94"/>
      <c r="D35" s="94"/>
      <c r="L35" s="5"/>
      <c r="M35" s="68"/>
      <c r="N35" s="68"/>
      <c r="O35" s="68"/>
      <c r="Q35" s="68"/>
      <c r="R35" s="68"/>
      <c r="S35" s="70"/>
    </row>
    <row r="36" spans="1:20" x14ac:dyDescent="0.25">
      <c r="B36" s="270" t="s">
        <v>235</v>
      </c>
      <c r="C36" s="94"/>
      <c r="D36" s="94"/>
      <c r="L36" s="5"/>
      <c r="M36" s="68"/>
      <c r="N36" s="68"/>
      <c r="O36" s="68"/>
      <c r="Q36" s="68"/>
      <c r="R36" s="68"/>
      <c r="S36" s="70"/>
    </row>
    <row r="37" spans="1:20" x14ac:dyDescent="0.25">
      <c r="B37" s="266" t="s">
        <v>236</v>
      </c>
      <c r="C37" s="94"/>
      <c r="D37" s="94"/>
      <c r="L37" s="5"/>
      <c r="M37" s="68"/>
      <c r="N37" s="68"/>
      <c r="O37" s="68"/>
      <c r="Q37" s="68"/>
      <c r="R37" s="68"/>
      <c r="S37" s="70"/>
    </row>
    <row r="38" spans="1:20" x14ac:dyDescent="0.25">
      <c r="A38" s="10"/>
      <c r="B38" s="10"/>
      <c r="C38" s="223"/>
      <c r="D38" s="223"/>
      <c r="E38" s="10"/>
      <c r="F38" s="10"/>
      <c r="G38" s="10"/>
      <c r="H38" s="10"/>
      <c r="I38" s="10"/>
      <c r="J38" s="10"/>
      <c r="K38" s="10"/>
      <c r="L38" s="224"/>
      <c r="M38" s="25"/>
      <c r="N38" s="25"/>
      <c r="O38" s="25"/>
      <c r="P38" s="10"/>
      <c r="Q38" s="25"/>
      <c r="R38" s="25"/>
      <c r="S38" s="26"/>
    </row>
    <row r="39" spans="1:20" x14ac:dyDescent="0.25">
      <c r="P39" s="29"/>
      <c r="Q39" s="58" t="s">
        <v>90</v>
      </c>
      <c r="R39" s="51"/>
      <c r="S39" s="177"/>
    </row>
    <row r="40" spans="1:20" ht="15" customHeight="1" x14ac:dyDescent="0.25">
      <c r="B40" s="17" t="s">
        <v>39</v>
      </c>
      <c r="C40" s="98" t="s">
        <v>2</v>
      </c>
      <c r="D40" s="98"/>
      <c r="E40" s="98" t="s">
        <v>34</v>
      </c>
      <c r="F40" s="98" t="s">
        <v>35</v>
      </c>
      <c r="G40" s="123"/>
      <c r="H40" s="123"/>
      <c r="I40" s="117"/>
      <c r="J40" s="98"/>
      <c r="K40" s="98"/>
      <c r="L40" s="98" t="s">
        <v>36</v>
      </c>
      <c r="M40" s="98" t="s">
        <v>37</v>
      </c>
      <c r="N40" s="10"/>
      <c r="O40" s="10"/>
      <c r="P40" s="10"/>
      <c r="Q40" s="54" t="s">
        <v>88</v>
      </c>
      <c r="R40" s="54"/>
      <c r="S40" s="55"/>
    </row>
    <row r="41" spans="1:20" ht="15" customHeight="1" x14ac:dyDescent="0.25">
      <c r="B41" s="65"/>
      <c r="C41" s="9"/>
      <c r="D41" s="9"/>
      <c r="E41" s="9"/>
      <c r="F41" s="9"/>
      <c r="G41" s="9"/>
      <c r="H41" s="9"/>
      <c r="I41" s="9"/>
      <c r="J41" s="9"/>
      <c r="K41" s="9"/>
      <c r="L41" s="9"/>
      <c r="M41" s="9"/>
      <c r="Q41" s="58"/>
      <c r="R41" s="51"/>
      <c r="S41" s="51"/>
    </row>
    <row r="42" spans="1:20" ht="15" customHeight="1" x14ac:dyDescent="0.25">
      <c r="B42" s="65"/>
      <c r="C42" s="9"/>
      <c r="D42" s="9"/>
      <c r="E42" s="9"/>
      <c r="F42" s="9"/>
      <c r="G42" s="9"/>
      <c r="H42" s="9"/>
      <c r="I42" s="9"/>
      <c r="J42" s="9"/>
      <c r="K42" s="9"/>
      <c r="L42" s="9"/>
      <c r="M42" s="9"/>
      <c r="R42" s="51"/>
      <c r="S42" s="51"/>
    </row>
    <row r="43" spans="1:20" x14ac:dyDescent="0.25">
      <c r="B43" s="11"/>
      <c r="C43" s="9"/>
      <c r="D43" s="9"/>
      <c r="E43" s="9"/>
      <c r="N43" s="45"/>
      <c r="O43" s="45"/>
      <c r="P43" s="45"/>
      <c r="Q43" s="51"/>
      <c r="R43" s="51"/>
      <c r="S43" s="51"/>
      <c r="T43" s="51"/>
    </row>
    <row r="44" spans="1:20" x14ac:dyDescent="0.25">
      <c r="B44" s="12"/>
      <c r="C44" s="13"/>
      <c r="D44" s="13"/>
      <c r="E44" s="14"/>
      <c r="F44" s="15"/>
      <c r="G44" s="15"/>
      <c r="H44" s="15"/>
      <c r="I44" s="15"/>
      <c r="J44" s="15"/>
      <c r="K44" s="15"/>
      <c r="L44" s="16"/>
      <c r="M44" s="31"/>
      <c r="N44" s="18"/>
      <c r="O44" s="18"/>
      <c r="P44" s="18"/>
      <c r="Q44" s="51"/>
      <c r="R44" s="51"/>
      <c r="S44" s="51"/>
      <c r="T44" s="51"/>
    </row>
    <row r="45" spans="1:20" x14ac:dyDescent="0.25">
      <c r="B45" s="12"/>
      <c r="C45" s="13"/>
      <c r="D45" s="13"/>
      <c r="E45" s="14"/>
      <c r="F45" s="15"/>
      <c r="G45" s="15"/>
      <c r="H45" s="15"/>
      <c r="I45" s="15"/>
      <c r="J45" s="15"/>
      <c r="K45" s="15"/>
      <c r="L45" s="16"/>
      <c r="M45" s="31"/>
      <c r="N45" s="18"/>
      <c r="O45" s="18"/>
      <c r="P45" s="18"/>
      <c r="Q45" s="51"/>
      <c r="R45" s="51"/>
      <c r="S45" s="51"/>
      <c r="T45" s="51"/>
    </row>
    <row r="46" spans="1:20" x14ac:dyDescent="0.25">
      <c r="B46" s="12"/>
      <c r="C46" s="13"/>
      <c r="D46" s="13"/>
      <c r="E46" s="14"/>
      <c r="F46" s="15"/>
      <c r="G46" s="15"/>
      <c r="H46" s="15"/>
      <c r="I46" s="15"/>
      <c r="J46" s="15"/>
      <c r="K46" s="15"/>
      <c r="L46" s="16"/>
      <c r="M46" s="31"/>
      <c r="N46" s="18"/>
      <c r="O46" s="18"/>
      <c r="P46" s="18"/>
      <c r="Q46" s="51"/>
      <c r="R46" s="51"/>
      <c r="S46" s="51"/>
      <c r="T46" s="51"/>
    </row>
    <row r="47" spans="1:20" x14ac:dyDescent="0.25">
      <c r="B47" s="12"/>
      <c r="C47" s="13"/>
      <c r="D47" s="13"/>
      <c r="E47" s="14"/>
      <c r="F47" s="15"/>
      <c r="G47" s="15"/>
      <c r="H47" s="15"/>
      <c r="I47" s="15"/>
      <c r="J47" s="15"/>
      <c r="K47" s="15"/>
      <c r="L47" s="16"/>
      <c r="M47" s="31"/>
      <c r="N47" s="18"/>
      <c r="O47" s="18"/>
      <c r="P47" s="18"/>
      <c r="T47" s="51"/>
    </row>
    <row r="50" spans="17:19" x14ac:dyDescent="0.25">
      <c r="Q50" s="325" t="s">
        <v>343</v>
      </c>
      <c r="R50" s="325"/>
      <c r="S50" s="329">
        <f>S15</f>
        <v>206703.05</v>
      </c>
    </row>
  </sheetData>
  <mergeCells count="6">
    <mergeCell ref="B24:F24"/>
    <mergeCell ref="Q1:S1"/>
    <mergeCell ref="Q2:S2"/>
    <mergeCell ref="B23:F23"/>
    <mergeCell ref="B19:F19"/>
    <mergeCell ref="B21:F21"/>
  </mergeCells>
  <hyperlinks>
    <hyperlink ref="B24" r:id="rId1"/>
  </hyperlinks>
  <printOptions horizontalCentered="1" gridLines="1"/>
  <pageMargins left="0" right="0" top="0.75" bottom="0.75" header="0.3" footer="0.3"/>
  <pageSetup scale="54" orientation="landscape" horizontalDpi="1200" verticalDpi="1200"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1"/>
  <sheetViews>
    <sheetView topLeftCell="E17" zoomScale="90" zoomScaleNormal="90" workbookViewId="0">
      <selection activeCell="S50" sqref="S50"/>
    </sheetView>
  </sheetViews>
  <sheetFormatPr defaultColWidth="9.140625" defaultRowHeight="15" x14ac:dyDescent="0.25"/>
  <cols>
    <col min="1" max="1" width="9.140625" style="2" hidden="1" customWidth="1"/>
    <col min="2" max="2" width="58.42578125" style="2" customWidth="1"/>
    <col min="3" max="3" width="26.42578125" style="2" customWidth="1"/>
    <col min="4" max="4" width="13.7109375" style="2" customWidth="1"/>
    <col min="5" max="5" width="17" style="2" bestFit="1" customWidth="1"/>
    <col min="6" max="6" width="21.7109375" style="2" customWidth="1"/>
    <col min="7" max="7" width="10.28515625" style="2" customWidth="1"/>
    <col min="8" max="8" width="12.85546875" style="2" customWidth="1"/>
    <col min="9" max="9" width="13.42578125" style="2" customWidth="1"/>
    <col min="10" max="10" width="15.7109375" style="2" customWidth="1"/>
    <col min="11" max="11" width="8.85546875" style="2" customWidth="1"/>
    <col min="12" max="12" width="16.7109375" style="2" customWidth="1"/>
    <col min="13" max="13" width="13.28515625" style="2" bestFit="1" customWidth="1"/>
    <col min="14" max="14" width="13.7109375" style="2" customWidth="1"/>
    <col min="15" max="15" width="14.42578125" style="2" customWidth="1"/>
    <col min="16" max="16" width="3.140625" style="2" customWidth="1"/>
    <col min="17" max="17" width="14.28515625" style="2" customWidth="1"/>
    <col min="18" max="18" width="14.140625" style="2" customWidth="1"/>
    <col min="19" max="19" width="16.7109375" style="2" customWidth="1"/>
    <col min="20" max="16384" width="9.140625" style="2"/>
  </cols>
  <sheetData>
    <row r="1" spans="1:20" ht="18" customHeight="1" x14ac:dyDescent="0.25">
      <c r="A1" s="2" t="s">
        <v>342</v>
      </c>
      <c r="B1" s="8" t="s">
        <v>101</v>
      </c>
      <c r="Q1" s="335" t="s">
        <v>230</v>
      </c>
      <c r="R1" s="335"/>
      <c r="S1" s="335"/>
    </row>
    <row r="2" spans="1:20" ht="18" customHeight="1" x14ac:dyDescent="0.25">
      <c r="B2" s="90" t="s">
        <v>148</v>
      </c>
      <c r="C2" s="187">
        <v>44377</v>
      </c>
      <c r="M2" s="73"/>
      <c r="N2" s="73"/>
      <c r="P2" s="29"/>
      <c r="Q2" s="334" t="s">
        <v>338</v>
      </c>
      <c r="R2" s="334"/>
      <c r="S2" s="334"/>
    </row>
    <row r="3" spans="1:20" ht="18" customHeight="1" thickBot="1" x14ac:dyDescent="0.3">
      <c r="A3" s="2" t="s">
        <v>16</v>
      </c>
      <c r="B3" s="44" t="s">
        <v>102</v>
      </c>
      <c r="C3" s="8"/>
      <c r="D3" s="8"/>
      <c r="E3" s="8"/>
      <c r="P3" s="29"/>
      <c r="Q3" s="45"/>
      <c r="R3" s="30"/>
    </row>
    <row r="4" spans="1:20" ht="18.75" customHeight="1" x14ac:dyDescent="0.25">
      <c r="B4" s="8" t="s">
        <v>174</v>
      </c>
      <c r="M4" s="87" t="s">
        <v>28</v>
      </c>
      <c r="N4" s="87" t="s">
        <v>28</v>
      </c>
      <c r="O4" s="87" t="s">
        <v>28</v>
      </c>
      <c r="P4" s="9"/>
      <c r="Q4" s="91" t="s">
        <v>29</v>
      </c>
      <c r="R4" s="91" t="s">
        <v>31</v>
      </c>
      <c r="S4" s="91" t="s">
        <v>23</v>
      </c>
      <c r="T4" s="7"/>
    </row>
    <row r="5" spans="1:20" ht="15.75" thickBot="1" x14ac:dyDescent="0.3">
      <c r="G5" s="188" t="s">
        <v>231</v>
      </c>
      <c r="H5" s="188" t="s">
        <v>231</v>
      </c>
      <c r="M5" s="88" t="s">
        <v>27</v>
      </c>
      <c r="N5" s="88" t="s">
        <v>26</v>
      </c>
      <c r="O5" s="88" t="s">
        <v>25</v>
      </c>
      <c r="P5" s="9"/>
      <c r="Q5" s="92" t="s">
        <v>30</v>
      </c>
      <c r="R5" s="92" t="s">
        <v>30</v>
      </c>
      <c r="S5" s="92" t="s">
        <v>30</v>
      </c>
      <c r="T5" s="7"/>
    </row>
    <row r="6" spans="1:20" ht="85.5" customHeight="1" thickBot="1" x14ac:dyDescent="0.3">
      <c r="B6" s="86" t="s">
        <v>1</v>
      </c>
      <c r="C6" s="86" t="s">
        <v>127</v>
      </c>
      <c r="D6" s="86" t="s">
        <v>107</v>
      </c>
      <c r="E6" s="86" t="s">
        <v>3</v>
      </c>
      <c r="F6" s="86" t="s">
        <v>4</v>
      </c>
      <c r="G6" s="110" t="s">
        <v>136</v>
      </c>
      <c r="H6" s="110" t="s">
        <v>137</v>
      </c>
      <c r="I6" s="110" t="s">
        <v>133</v>
      </c>
      <c r="J6" s="110" t="s">
        <v>134</v>
      </c>
      <c r="K6" s="110" t="s">
        <v>121</v>
      </c>
      <c r="L6" s="85" t="s">
        <v>5</v>
      </c>
      <c r="M6" s="89" t="s">
        <v>6</v>
      </c>
      <c r="N6" s="89" t="s">
        <v>6</v>
      </c>
      <c r="O6" s="89" t="s">
        <v>6</v>
      </c>
      <c r="P6" s="9"/>
      <c r="Q6" s="93"/>
      <c r="R6" s="99" t="s">
        <v>32</v>
      </c>
      <c r="S6" s="100" t="s">
        <v>33</v>
      </c>
    </row>
    <row r="7" spans="1:20" ht="24.75" customHeight="1" x14ac:dyDescent="0.25">
      <c r="B7" s="2" t="s">
        <v>8</v>
      </c>
      <c r="C7" s="94" t="s">
        <v>106</v>
      </c>
      <c r="D7" s="94" t="s">
        <v>246</v>
      </c>
      <c r="E7" s="2" t="s">
        <v>232</v>
      </c>
      <c r="F7" s="2" t="s">
        <v>7</v>
      </c>
      <c r="G7" s="191">
        <v>2.9600000000000001E-2</v>
      </c>
      <c r="H7" s="191">
        <v>0.1744</v>
      </c>
      <c r="I7" s="192">
        <v>44377</v>
      </c>
      <c r="J7" s="192">
        <v>44378</v>
      </c>
      <c r="K7" s="192">
        <v>44013</v>
      </c>
      <c r="L7" s="193" t="s">
        <v>234</v>
      </c>
      <c r="M7" s="80">
        <v>174899.06</v>
      </c>
      <c r="N7" s="69">
        <f>175049.56-M7</f>
        <v>150.5</v>
      </c>
      <c r="O7" s="69">
        <f t="shared" ref="O7:O12" si="0">M7+N7</f>
        <v>175049.56</v>
      </c>
      <c r="P7" s="153"/>
      <c r="Q7" s="69">
        <f>73113.91+48521.57+32344.36</f>
        <v>153979.84000000003</v>
      </c>
      <c r="R7" s="69"/>
      <c r="S7" s="70">
        <f>Q7+R7</f>
        <v>153979.84000000003</v>
      </c>
    </row>
    <row r="8" spans="1:20" ht="30.6" hidden="1" customHeight="1" x14ac:dyDescent="0.25">
      <c r="B8" s="205" t="s">
        <v>128</v>
      </c>
      <c r="C8" s="231" t="s">
        <v>183</v>
      </c>
      <c r="D8" s="94" t="s">
        <v>171</v>
      </c>
      <c r="E8" s="2" t="s">
        <v>233</v>
      </c>
      <c r="F8" s="2" t="s">
        <v>7</v>
      </c>
      <c r="G8" s="191">
        <f>+G7</f>
        <v>2.9600000000000001E-2</v>
      </c>
      <c r="H8" s="191">
        <f>+H7</f>
        <v>0.1744</v>
      </c>
      <c r="I8" s="192">
        <f>+I7</f>
        <v>44377</v>
      </c>
      <c r="J8" s="192">
        <f t="shared" ref="J8:L8" si="1">+J7</f>
        <v>44378</v>
      </c>
      <c r="K8" s="192">
        <f t="shared" si="1"/>
        <v>44013</v>
      </c>
      <c r="L8" s="194" t="str">
        <f t="shared" si="1"/>
        <v>07/01/20 - 06/30/21</v>
      </c>
      <c r="M8" s="80"/>
      <c r="N8" s="69"/>
      <c r="O8" s="69">
        <f t="shared" si="0"/>
        <v>0</v>
      </c>
      <c r="P8" s="69"/>
      <c r="Q8" s="69"/>
      <c r="R8" s="69"/>
      <c r="S8" s="70">
        <f>Q8+R8</f>
        <v>0</v>
      </c>
    </row>
    <row r="9" spans="1:20" ht="30.6" customHeight="1" x14ac:dyDescent="0.25">
      <c r="B9" s="2" t="s">
        <v>241</v>
      </c>
      <c r="C9" s="243" t="s">
        <v>242</v>
      </c>
      <c r="D9" s="95" t="s">
        <v>243</v>
      </c>
      <c r="E9" s="2" t="s">
        <v>244</v>
      </c>
      <c r="F9" s="2" t="s">
        <v>7</v>
      </c>
      <c r="G9" s="191">
        <v>2.9600000000000001E-2</v>
      </c>
      <c r="H9" s="191">
        <v>0.1744</v>
      </c>
      <c r="I9" s="192">
        <v>44834</v>
      </c>
      <c r="J9" s="192">
        <v>44849</v>
      </c>
      <c r="K9" s="192">
        <v>43614</v>
      </c>
      <c r="L9" s="193" t="s">
        <v>311</v>
      </c>
      <c r="M9" s="80">
        <v>62421.15</v>
      </c>
      <c r="N9" s="69"/>
      <c r="O9" s="69">
        <f t="shared" si="0"/>
        <v>62421.15</v>
      </c>
      <c r="P9" s="69"/>
      <c r="Q9" s="69"/>
      <c r="R9" s="69"/>
      <c r="S9" s="70">
        <f>Q9+R9</f>
        <v>0</v>
      </c>
    </row>
    <row r="10" spans="1:20" ht="30.6" customHeight="1" x14ac:dyDescent="0.25">
      <c r="B10" s="2" t="s">
        <v>283</v>
      </c>
      <c r="C10" s="243" t="s">
        <v>264</v>
      </c>
      <c r="D10" s="95" t="s">
        <v>254</v>
      </c>
      <c r="E10" s="2" t="s">
        <v>284</v>
      </c>
      <c r="F10" s="2" t="s">
        <v>7</v>
      </c>
      <c r="G10" s="191">
        <f t="shared" ref="G10:H10" si="2">+G9</f>
        <v>2.9600000000000001E-2</v>
      </c>
      <c r="H10" s="191">
        <f t="shared" si="2"/>
        <v>0.1744</v>
      </c>
      <c r="I10" s="192">
        <v>44377</v>
      </c>
      <c r="J10" s="192">
        <v>44392</v>
      </c>
      <c r="K10" s="192">
        <v>43613</v>
      </c>
      <c r="L10" s="193" t="s">
        <v>234</v>
      </c>
      <c r="M10" s="81">
        <v>7302.48</v>
      </c>
      <c r="N10" s="69"/>
      <c r="O10" s="69">
        <f t="shared" si="0"/>
        <v>7302.48</v>
      </c>
      <c r="P10" s="69"/>
      <c r="Q10" s="69"/>
      <c r="R10" s="69"/>
      <c r="S10" s="70">
        <f>Q10+R10</f>
        <v>0</v>
      </c>
    </row>
    <row r="11" spans="1:20" ht="30.6" customHeight="1" x14ac:dyDescent="0.25">
      <c r="B11" s="2" t="s">
        <v>268</v>
      </c>
      <c r="C11" s="243" t="s">
        <v>269</v>
      </c>
      <c r="D11" s="95" t="s">
        <v>164</v>
      </c>
      <c r="E11" s="2" t="s">
        <v>280</v>
      </c>
      <c r="F11" s="2" t="s">
        <v>7</v>
      </c>
      <c r="G11" s="191">
        <f t="shared" ref="G11:H13" si="3">+G9</f>
        <v>2.9600000000000001E-2</v>
      </c>
      <c r="H11" s="191">
        <f t="shared" si="3"/>
        <v>0.1744</v>
      </c>
      <c r="I11" s="192">
        <v>44393</v>
      </c>
      <c r="J11" s="192">
        <v>44408</v>
      </c>
      <c r="K11" s="192">
        <v>42644</v>
      </c>
      <c r="L11" s="193" t="s">
        <v>310</v>
      </c>
      <c r="M11" s="81">
        <v>190199</v>
      </c>
      <c r="N11" s="69"/>
      <c r="O11" s="69">
        <f t="shared" si="0"/>
        <v>190199</v>
      </c>
      <c r="P11" s="69"/>
      <c r="Q11" s="69">
        <v>171293.79</v>
      </c>
      <c r="R11" s="69"/>
      <c r="S11" s="70">
        <f t="shared" ref="S11:S12" si="4">Q11+R11</f>
        <v>171293.79</v>
      </c>
    </row>
    <row r="12" spans="1:20" ht="30.6" customHeight="1" x14ac:dyDescent="0.25">
      <c r="B12" s="2" t="s">
        <v>305</v>
      </c>
      <c r="C12" s="243" t="s">
        <v>306</v>
      </c>
      <c r="D12" s="95" t="s">
        <v>307</v>
      </c>
      <c r="E12" s="2" t="s">
        <v>308</v>
      </c>
      <c r="F12" s="2" t="s">
        <v>7</v>
      </c>
      <c r="G12" s="191">
        <f t="shared" si="3"/>
        <v>2.9600000000000001E-2</v>
      </c>
      <c r="H12" s="191">
        <f t="shared" si="3"/>
        <v>0.1744</v>
      </c>
      <c r="I12" s="192">
        <v>44408</v>
      </c>
      <c r="J12" s="192">
        <v>44423</v>
      </c>
      <c r="K12" s="192">
        <v>42186</v>
      </c>
      <c r="L12" s="193" t="s">
        <v>309</v>
      </c>
      <c r="M12" s="81">
        <v>18100</v>
      </c>
      <c r="N12" s="69"/>
      <c r="O12" s="69">
        <f t="shared" si="0"/>
        <v>18100</v>
      </c>
      <c r="P12" s="69"/>
      <c r="Q12" s="69"/>
      <c r="R12" s="69"/>
      <c r="S12" s="70">
        <f t="shared" si="4"/>
        <v>0</v>
      </c>
    </row>
    <row r="13" spans="1:20" ht="30.6" customHeight="1" x14ac:dyDescent="0.25">
      <c r="B13" s="2" t="s">
        <v>314</v>
      </c>
      <c r="C13" s="243" t="s">
        <v>242</v>
      </c>
      <c r="D13" s="95" t="s">
        <v>243</v>
      </c>
      <c r="E13" s="2" t="s">
        <v>315</v>
      </c>
      <c r="F13" s="2" t="s">
        <v>7</v>
      </c>
      <c r="G13" s="313">
        <f t="shared" si="3"/>
        <v>2.9600000000000001E-2</v>
      </c>
      <c r="H13" s="313">
        <f t="shared" si="3"/>
        <v>0.1744</v>
      </c>
      <c r="I13" s="312">
        <v>44773</v>
      </c>
      <c r="J13" s="312">
        <v>44788</v>
      </c>
      <c r="K13" s="192">
        <v>43980</v>
      </c>
      <c r="L13" s="193" t="s">
        <v>316</v>
      </c>
      <c r="M13" s="81">
        <v>5006.1099999999997</v>
      </c>
      <c r="N13" s="72"/>
      <c r="O13" s="69">
        <f>M13+N13</f>
        <v>5006.1099999999997</v>
      </c>
      <c r="P13" s="69"/>
      <c r="Q13" s="69"/>
      <c r="R13" s="69"/>
      <c r="S13" s="70">
        <f>Q13+R13</f>
        <v>0</v>
      </c>
    </row>
    <row r="14" spans="1:20" ht="30.6" customHeight="1" x14ac:dyDescent="0.25">
      <c r="B14" s="2" t="s">
        <v>318</v>
      </c>
      <c r="C14" s="243" t="s">
        <v>242</v>
      </c>
      <c r="D14" s="95" t="s">
        <v>243</v>
      </c>
      <c r="E14" s="2" t="s">
        <v>319</v>
      </c>
      <c r="F14" s="2" t="s">
        <v>7</v>
      </c>
      <c r="G14" s="191">
        <v>2.9600000000000001E-2</v>
      </c>
      <c r="H14" s="191">
        <v>0.1744</v>
      </c>
      <c r="I14" s="192">
        <v>44561</v>
      </c>
      <c r="J14" s="192">
        <v>44576</v>
      </c>
      <c r="K14" s="192">
        <v>43980</v>
      </c>
      <c r="L14" s="193" t="s">
        <v>320</v>
      </c>
      <c r="M14" s="81">
        <v>3000</v>
      </c>
      <c r="N14" s="69"/>
      <c r="O14" s="69">
        <f t="shared" ref="O14:O16" si="5">M14+N14</f>
        <v>3000</v>
      </c>
      <c r="P14" s="68"/>
      <c r="Q14" s="69"/>
      <c r="R14" s="69"/>
      <c r="S14" s="70">
        <f t="shared" ref="S14:S16" si="6">Q14+R14</f>
        <v>0</v>
      </c>
    </row>
    <row r="15" spans="1:20" ht="30.6" customHeight="1" x14ac:dyDescent="0.25">
      <c r="B15" s="2" t="s">
        <v>321</v>
      </c>
      <c r="C15" s="243" t="s">
        <v>264</v>
      </c>
      <c r="D15" s="95" t="s">
        <v>254</v>
      </c>
      <c r="E15" s="2" t="s">
        <v>322</v>
      </c>
      <c r="F15" s="2" t="s">
        <v>7</v>
      </c>
      <c r="G15" s="191">
        <v>2.9600000000000001E-2</v>
      </c>
      <c r="H15" s="191">
        <v>0.1744</v>
      </c>
      <c r="I15" s="192">
        <v>44742</v>
      </c>
      <c r="J15" s="192">
        <v>44757</v>
      </c>
      <c r="K15" s="192">
        <v>43979</v>
      </c>
      <c r="L15" s="193" t="s">
        <v>323</v>
      </c>
      <c r="M15" s="81">
        <v>1027</v>
      </c>
      <c r="N15" s="69"/>
      <c r="O15" s="69">
        <f t="shared" si="5"/>
        <v>1027</v>
      </c>
      <c r="P15" s="68"/>
      <c r="Q15" s="69"/>
      <c r="R15" s="69"/>
      <c r="S15" s="70">
        <f t="shared" si="6"/>
        <v>0</v>
      </c>
    </row>
    <row r="16" spans="1:20" ht="30.6" customHeight="1" x14ac:dyDescent="0.25">
      <c r="B16" s="2" t="s">
        <v>327</v>
      </c>
      <c r="C16" s="243" t="s">
        <v>242</v>
      </c>
      <c r="D16" s="95" t="s">
        <v>328</v>
      </c>
      <c r="E16" s="2" t="s">
        <v>329</v>
      </c>
      <c r="F16" s="2" t="s">
        <v>7</v>
      </c>
      <c r="G16" s="191">
        <v>2.9600000000000001E-2</v>
      </c>
      <c r="H16" s="191">
        <v>0.1744</v>
      </c>
      <c r="I16" s="192">
        <v>44440</v>
      </c>
      <c r="J16" s="192">
        <v>44440</v>
      </c>
      <c r="K16" s="192">
        <v>44201</v>
      </c>
      <c r="L16" s="193" t="s">
        <v>330</v>
      </c>
      <c r="M16" s="81">
        <v>139039.21</v>
      </c>
      <c r="N16" s="69"/>
      <c r="O16" s="69">
        <f t="shared" si="5"/>
        <v>139039.21</v>
      </c>
      <c r="P16" s="68"/>
      <c r="Q16" s="69"/>
      <c r="R16" s="69"/>
      <c r="S16" s="70">
        <f t="shared" si="6"/>
        <v>0</v>
      </c>
    </row>
    <row r="17" spans="2:19" ht="15.75" customHeight="1" x14ac:dyDescent="0.25">
      <c r="C17" s="243"/>
      <c r="D17" s="94"/>
      <c r="G17" s="191"/>
      <c r="H17" s="191"/>
      <c r="I17" s="192"/>
      <c r="J17" s="192"/>
      <c r="K17" s="192"/>
      <c r="L17" s="193"/>
      <c r="M17" s="24"/>
      <c r="N17" s="25"/>
      <c r="O17" s="25"/>
      <c r="P17" s="69"/>
      <c r="Q17" s="25"/>
      <c r="R17" s="25"/>
      <c r="S17" s="26"/>
    </row>
    <row r="18" spans="2:19" ht="24" customHeight="1" x14ac:dyDescent="0.25">
      <c r="C18" s="95"/>
      <c r="D18" s="95"/>
      <c r="G18" s="126"/>
      <c r="H18" s="126"/>
      <c r="I18" s="119"/>
      <c r="J18" s="119"/>
      <c r="K18" s="119" t="s">
        <v>100</v>
      </c>
      <c r="L18" s="21" t="s">
        <v>38</v>
      </c>
      <c r="M18" s="68">
        <f>SUM(M7:M17)</f>
        <v>600994.01</v>
      </c>
      <c r="N18" s="68">
        <f>SUM(N7:N17)</f>
        <v>150.5</v>
      </c>
      <c r="O18" s="68">
        <f>SUM(O7:O17)</f>
        <v>601144.51</v>
      </c>
      <c r="P18" s="68"/>
      <c r="Q18" s="68">
        <f>SUM(Q7:Q17)</f>
        <v>325273.63</v>
      </c>
      <c r="R18" s="68">
        <f>SUM(R7:R17)</f>
        <v>0</v>
      </c>
      <c r="S18" s="23">
        <f>SUM(S7:S17)</f>
        <v>325273.63</v>
      </c>
    </row>
    <row r="19" spans="2:19" x14ac:dyDescent="0.25">
      <c r="B19" s="3"/>
      <c r="C19" s="95"/>
      <c r="D19" s="95"/>
      <c r="I19" s="119"/>
      <c r="J19" s="119"/>
      <c r="K19" s="119"/>
      <c r="S19" s="27"/>
    </row>
    <row r="20" spans="2:19" x14ac:dyDescent="0.25">
      <c r="C20" s="95"/>
      <c r="D20" s="95"/>
      <c r="S20" s="27"/>
    </row>
    <row r="21" spans="2:19" x14ac:dyDescent="0.25">
      <c r="B21" s="8" t="s">
        <v>125</v>
      </c>
      <c r="C21" s="94"/>
      <c r="D21" s="94"/>
      <c r="S21" s="27"/>
    </row>
    <row r="22" spans="2:19" ht="32.25" customHeight="1" x14ac:dyDescent="0.25">
      <c r="B22" s="338" t="s">
        <v>126</v>
      </c>
      <c r="C22" s="338"/>
      <c r="D22" s="338"/>
      <c r="E22" s="338"/>
      <c r="F22" s="338"/>
      <c r="S22" s="27"/>
    </row>
    <row r="23" spans="2:19" x14ac:dyDescent="0.25">
      <c r="C23" s="94"/>
      <c r="D23" s="94"/>
      <c r="S23" s="27"/>
    </row>
    <row r="24" spans="2:19" ht="49.5" customHeight="1" x14ac:dyDescent="0.25">
      <c r="B24" s="338" t="s">
        <v>129</v>
      </c>
      <c r="C24" s="338"/>
      <c r="D24" s="338"/>
      <c r="E24" s="338"/>
      <c r="F24" s="338"/>
      <c r="S24" s="27"/>
    </row>
    <row r="25" spans="2:19" x14ac:dyDescent="0.25">
      <c r="B25" s="111"/>
      <c r="C25" s="111"/>
      <c r="D25" s="111"/>
      <c r="E25" s="111"/>
      <c r="S25" s="27"/>
    </row>
    <row r="26" spans="2:19" ht="30" customHeight="1" x14ac:dyDescent="0.25">
      <c r="B26" s="338" t="s">
        <v>160</v>
      </c>
      <c r="C26" s="338"/>
      <c r="D26" s="338"/>
      <c r="E26" s="338"/>
      <c r="F26" s="338"/>
      <c r="S26" s="27"/>
    </row>
    <row r="27" spans="2:19" ht="15" customHeight="1" x14ac:dyDescent="0.25">
      <c r="B27" s="346" t="s">
        <v>159</v>
      </c>
      <c r="C27" s="338"/>
      <c r="D27" s="338"/>
      <c r="E27" s="338"/>
      <c r="F27" s="338"/>
      <c r="S27" s="27"/>
    </row>
    <row r="28" spans="2:19" ht="15" customHeight="1" x14ac:dyDescent="0.25">
      <c r="B28" s="200"/>
      <c r="C28" s="200"/>
      <c r="D28" s="200"/>
      <c r="E28" s="200"/>
      <c r="S28" s="27"/>
    </row>
    <row r="29" spans="2:19" x14ac:dyDescent="0.25">
      <c r="B29" s="7" t="s">
        <v>109</v>
      </c>
      <c r="C29" s="104" t="s">
        <v>112</v>
      </c>
      <c r="D29" s="104" t="s">
        <v>113</v>
      </c>
      <c r="E29" s="111"/>
      <c r="S29" s="27"/>
    </row>
    <row r="30" spans="2:19" x14ac:dyDescent="0.25">
      <c r="B30" s="2" t="s">
        <v>110</v>
      </c>
      <c r="C30" s="94" t="s">
        <v>116</v>
      </c>
      <c r="D30" s="94" t="s">
        <v>118</v>
      </c>
      <c r="E30" s="111"/>
      <c r="S30" s="27"/>
    </row>
    <row r="31" spans="2:19" x14ac:dyDescent="0.25">
      <c r="B31" s="2" t="s">
        <v>252</v>
      </c>
      <c r="C31" s="94" t="s">
        <v>135</v>
      </c>
      <c r="D31" s="94" t="s">
        <v>147</v>
      </c>
      <c r="E31" s="247"/>
      <c r="S31" s="27"/>
    </row>
    <row r="32" spans="2:19" x14ac:dyDescent="0.25">
      <c r="B32" s="2" t="s">
        <v>260</v>
      </c>
      <c r="C32" s="94" t="s">
        <v>135</v>
      </c>
      <c r="D32" s="94" t="s">
        <v>147</v>
      </c>
      <c r="E32" s="289"/>
      <c r="S32" s="27"/>
    </row>
    <row r="33" spans="2:20" x14ac:dyDescent="0.25">
      <c r="B33" s="2" t="s">
        <v>267</v>
      </c>
      <c r="C33" s="94" t="s">
        <v>135</v>
      </c>
      <c r="D33" s="94" t="s">
        <v>147</v>
      </c>
      <c r="E33" s="294"/>
      <c r="S33" s="27"/>
    </row>
    <row r="34" spans="2:20" x14ac:dyDescent="0.25">
      <c r="B34" s="2" t="s">
        <v>305</v>
      </c>
      <c r="C34" s="94" t="s">
        <v>135</v>
      </c>
      <c r="D34" s="94" t="s">
        <v>147</v>
      </c>
      <c r="E34" s="310"/>
      <c r="S34" s="27"/>
    </row>
    <row r="35" spans="2:20" x14ac:dyDescent="0.25">
      <c r="B35" s="2" t="s">
        <v>314</v>
      </c>
      <c r="C35" s="94" t="s">
        <v>135</v>
      </c>
      <c r="D35" s="94" t="s">
        <v>147</v>
      </c>
      <c r="E35" s="311"/>
      <c r="S35" s="27"/>
    </row>
    <row r="36" spans="2:20" x14ac:dyDescent="0.25">
      <c r="B36" s="2" t="s">
        <v>318</v>
      </c>
      <c r="C36" s="94" t="s">
        <v>135</v>
      </c>
      <c r="D36" s="94" t="s">
        <v>147</v>
      </c>
      <c r="E36" s="314"/>
      <c r="S36" s="27"/>
    </row>
    <row r="37" spans="2:20" x14ac:dyDescent="0.25">
      <c r="B37" s="2" t="s">
        <v>321</v>
      </c>
      <c r="C37" s="94" t="s">
        <v>135</v>
      </c>
      <c r="D37" s="94" t="s">
        <v>147</v>
      </c>
      <c r="E37" s="318"/>
      <c r="S37" s="27"/>
    </row>
    <row r="38" spans="2:20" x14ac:dyDescent="0.25">
      <c r="B38" s="2" t="s">
        <v>326</v>
      </c>
      <c r="C38" s="94" t="s">
        <v>135</v>
      </c>
      <c r="D38" s="94" t="s">
        <v>147</v>
      </c>
      <c r="E38" s="323"/>
      <c r="S38" s="27"/>
    </row>
    <row r="39" spans="2:20" x14ac:dyDescent="0.25">
      <c r="C39" s="94"/>
      <c r="D39" s="94"/>
      <c r="E39" s="279"/>
      <c r="S39" s="27"/>
    </row>
    <row r="40" spans="2:20" x14ac:dyDescent="0.25">
      <c r="B40" s="347" t="s">
        <v>235</v>
      </c>
      <c r="C40" s="333"/>
      <c r="D40" s="333"/>
      <c r="E40" s="333"/>
      <c r="F40" s="333"/>
      <c r="G40" s="333"/>
      <c r="H40" s="333"/>
      <c r="S40" s="27"/>
    </row>
    <row r="41" spans="2:20" x14ac:dyDescent="0.25">
      <c r="B41" s="249" t="s">
        <v>236</v>
      </c>
      <c r="C41" s="94"/>
      <c r="D41" s="94"/>
      <c r="S41" s="27"/>
    </row>
    <row r="42" spans="2:20" x14ac:dyDescent="0.25">
      <c r="B42" s="225"/>
      <c r="C42" s="96"/>
      <c r="D42" s="96"/>
      <c r="E42" s="10"/>
      <c r="F42" s="10"/>
      <c r="G42" s="10"/>
      <c r="H42" s="10"/>
      <c r="I42" s="10"/>
      <c r="J42" s="10"/>
      <c r="K42" s="10"/>
      <c r="L42" s="10"/>
      <c r="M42" s="10"/>
      <c r="N42" s="10"/>
      <c r="O42" s="10"/>
      <c r="P42" s="10"/>
      <c r="Q42" s="10"/>
      <c r="R42" s="10"/>
      <c r="S42" s="28"/>
    </row>
    <row r="43" spans="2:20" ht="15" customHeight="1" x14ac:dyDescent="0.25">
      <c r="Q43" s="59" t="s">
        <v>90</v>
      </c>
      <c r="R43" s="50"/>
      <c r="S43" s="170"/>
    </row>
    <row r="44" spans="2:20" ht="15" customHeight="1" x14ac:dyDescent="0.25">
      <c r="B44" s="17" t="s">
        <v>39</v>
      </c>
      <c r="C44" s="98" t="s">
        <v>2</v>
      </c>
      <c r="D44" s="98"/>
      <c r="E44" s="98" t="s">
        <v>34</v>
      </c>
      <c r="F44" s="98" t="s">
        <v>35</v>
      </c>
      <c r="G44" s="123"/>
      <c r="H44" s="123"/>
      <c r="I44" s="117"/>
      <c r="J44" s="98"/>
      <c r="K44" s="98"/>
      <c r="L44" s="98" t="s">
        <v>36</v>
      </c>
      <c r="M44" s="98" t="s">
        <v>37</v>
      </c>
      <c r="N44" s="47"/>
      <c r="O44" s="47"/>
      <c r="P44" s="47"/>
      <c r="Q44" s="54" t="s">
        <v>88</v>
      </c>
      <c r="R44" s="52"/>
      <c r="S44" s="53"/>
      <c r="T44" s="51"/>
    </row>
    <row r="45" spans="2:20" ht="15" customHeight="1" x14ac:dyDescent="0.25">
      <c r="B45" s="65"/>
      <c r="C45" s="9"/>
      <c r="D45" s="9"/>
      <c r="E45" s="9"/>
      <c r="F45" s="9"/>
      <c r="G45" s="9"/>
      <c r="H45" s="9"/>
      <c r="I45" s="9"/>
      <c r="J45" s="9"/>
      <c r="K45" s="9"/>
      <c r="L45" s="9"/>
      <c r="M45" s="9"/>
      <c r="N45" s="45"/>
      <c r="O45" s="45"/>
      <c r="P45" s="45"/>
      <c r="Q45" s="59"/>
      <c r="R45" s="50"/>
      <c r="S45" s="50"/>
      <c r="T45" s="51"/>
    </row>
    <row r="46" spans="2:20" x14ac:dyDescent="0.25">
      <c r="B46" s="65"/>
      <c r="C46" s="9"/>
      <c r="D46" s="9"/>
      <c r="E46" s="9"/>
      <c r="F46" s="9"/>
      <c r="G46" s="9"/>
      <c r="H46" s="9"/>
      <c r="I46" s="9"/>
      <c r="J46" s="9"/>
      <c r="K46" s="9"/>
      <c r="L46" s="9"/>
      <c r="M46" s="9"/>
      <c r="N46" s="45"/>
      <c r="O46" s="45"/>
      <c r="P46" s="45"/>
      <c r="R46" s="51"/>
      <c r="S46" s="51"/>
      <c r="T46" s="51"/>
    </row>
    <row r="47" spans="2:20" x14ac:dyDescent="0.25">
      <c r="B47" s="11"/>
      <c r="C47" s="9"/>
      <c r="D47" s="9"/>
      <c r="E47" s="9"/>
      <c r="T47" s="51"/>
    </row>
    <row r="48" spans="2:20" x14ac:dyDescent="0.25">
      <c r="B48" s="12"/>
      <c r="C48" s="13"/>
      <c r="D48" s="13"/>
      <c r="E48" s="41"/>
      <c r="F48" s="15"/>
      <c r="G48" s="15"/>
      <c r="H48" s="15"/>
      <c r="I48" s="15"/>
      <c r="J48" s="15"/>
      <c r="K48" s="15"/>
      <c r="L48" s="16"/>
      <c r="M48" s="20"/>
      <c r="N48" s="18"/>
      <c r="O48" s="18"/>
      <c r="P48" s="18"/>
    </row>
    <row r="49" spans="2:19" x14ac:dyDescent="0.25">
      <c r="B49" s="12"/>
      <c r="C49" s="13"/>
      <c r="D49" s="13"/>
      <c r="E49" s="41"/>
      <c r="F49" s="15"/>
      <c r="G49" s="15"/>
      <c r="H49" s="15"/>
      <c r="I49" s="15"/>
      <c r="J49" s="15"/>
      <c r="K49" s="15"/>
      <c r="L49" s="16"/>
      <c r="M49" s="20"/>
      <c r="N49" s="18"/>
      <c r="O49" s="18"/>
      <c r="P49" s="18"/>
    </row>
    <row r="50" spans="2:19" x14ac:dyDescent="0.25">
      <c r="B50" s="12"/>
      <c r="C50" s="13"/>
      <c r="D50" s="13"/>
      <c r="E50" s="41"/>
      <c r="F50" s="15"/>
      <c r="G50" s="15"/>
      <c r="H50" s="15"/>
      <c r="I50" s="15"/>
      <c r="J50" s="15"/>
      <c r="K50" s="15"/>
      <c r="L50" s="16"/>
      <c r="M50" s="20"/>
      <c r="N50" s="18"/>
      <c r="O50" s="18"/>
      <c r="P50" s="18"/>
      <c r="Q50" s="325" t="s">
        <v>343</v>
      </c>
      <c r="R50" s="325"/>
      <c r="S50" s="329">
        <f>S18</f>
        <v>325273.63</v>
      </c>
    </row>
    <row r="51" spans="2:19" x14ac:dyDescent="0.25">
      <c r="B51" s="12"/>
      <c r="C51" s="13"/>
      <c r="D51" s="13"/>
      <c r="E51" s="41"/>
      <c r="F51" s="15"/>
      <c r="G51" s="15"/>
      <c r="H51" s="15"/>
      <c r="I51" s="15"/>
      <c r="J51" s="15"/>
      <c r="K51" s="15"/>
      <c r="L51" s="16"/>
      <c r="M51" s="20"/>
      <c r="N51" s="18"/>
      <c r="O51" s="18"/>
      <c r="P51" s="18"/>
    </row>
  </sheetData>
  <mergeCells count="7">
    <mergeCell ref="B40:H40"/>
    <mergeCell ref="B27:F27"/>
    <mergeCell ref="Q1:S1"/>
    <mergeCell ref="Q2:S2"/>
    <mergeCell ref="B26:F26"/>
    <mergeCell ref="B22:F22"/>
    <mergeCell ref="B24:F24"/>
  </mergeCells>
  <hyperlinks>
    <hyperlink ref="B27" r:id="rId1"/>
  </hyperlinks>
  <printOptions horizontalCentered="1" gridLines="1"/>
  <pageMargins left="0" right="0" top="0.75" bottom="0.75" header="0.3" footer="0.3"/>
  <pageSetup scale="48" orientation="landscape" horizontalDpi="1200" verticalDpi="1200"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0"/>
  <sheetViews>
    <sheetView topLeftCell="C17" zoomScale="90" zoomScaleNormal="90" workbookViewId="0">
      <selection activeCell="S50" sqref="S50"/>
    </sheetView>
  </sheetViews>
  <sheetFormatPr defaultColWidth="9.140625" defaultRowHeight="15" x14ac:dyDescent="0.25"/>
  <cols>
    <col min="1" max="1" width="6.7109375" style="2" hidden="1" customWidth="1"/>
    <col min="2" max="2" width="59.42578125" style="2" customWidth="1"/>
    <col min="3" max="3" width="24.42578125" style="2" bestFit="1" customWidth="1"/>
    <col min="4" max="4" width="13.7109375" style="2" customWidth="1"/>
    <col min="5" max="5" width="18.140625" style="2" customWidth="1"/>
    <col min="6" max="6" width="21.7109375" style="2" customWidth="1"/>
    <col min="7" max="7" width="10.28515625" style="2" customWidth="1"/>
    <col min="8" max="8" width="12.85546875" style="2" customWidth="1"/>
    <col min="9" max="9" width="13.42578125" style="2" customWidth="1"/>
    <col min="10" max="10" width="15.7109375" style="2" customWidth="1"/>
    <col min="11" max="11" width="8.85546875" style="2" customWidth="1"/>
    <col min="12" max="12" width="19.140625" style="2" customWidth="1"/>
    <col min="13" max="13" width="13.28515625" style="2" bestFit="1" customWidth="1"/>
    <col min="14" max="14" width="13.7109375" style="2" customWidth="1"/>
    <col min="15" max="15" width="14.42578125" style="2" customWidth="1"/>
    <col min="16" max="16" width="3.140625" style="2" customWidth="1"/>
    <col min="17" max="17" width="12" style="2" customWidth="1"/>
    <col min="18" max="18" width="14.140625" style="2" customWidth="1"/>
    <col min="19" max="19" width="16.7109375" style="2" customWidth="1"/>
    <col min="20" max="16384" width="9.140625" style="2"/>
  </cols>
  <sheetData>
    <row r="1" spans="1:20" ht="18" customHeight="1" x14ac:dyDescent="0.25">
      <c r="A1" s="2" t="s">
        <v>342</v>
      </c>
      <c r="B1" s="8" t="s">
        <v>103</v>
      </c>
      <c r="Q1" s="335" t="s">
        <v>230</v>
      </c>
      <c r="R1" s="335"/>
      <c r="S1" s="335"/>
    </row>
    <row r="2" spans="1:20" ht="18" customHeight="1" x14ac:dyDescent="0.25">
      <c r="B2" s="90" t="s">
        <v>148</v>
      </c>
      <c r="C2" s="187">
        <v>44377</v>
      </c>
      <c r="M2" s="73"/>
      <c r="N2" s="73"/>
      <c r="P2" s="29"/>
      <c r="Q2" s="334" t="s">
        <v>338</v>
      </c>
      <c r="R2" s="334"/>
      <c r="S2" s="334"/>
    </row>
    <row r="3" spans="1:20" ht="18" customHeight="1" thickBot="1" x14ac:dyDescent="0.3">
      <c r="A3" s="2" t="s">
        <v>16</v>
      </c>
      <c r="B3" s="44" t="s">
        <v>104</v>
      </c>
      <c r="C3" s="8"/>
      <c r="D3" s="8"/>
      <c r="E3" s="8"/>
      <c r="P3" s="29"/>
      <c r="Q3" s="45"/>
      <c r="R3" s="30"/>
    </row>
    <row r="4" spans="1:20" ht="18.75" customHeight="1" x14ac:dyDescent="0.25">
      <c r="B4" s="8" t="s">
        <v>174</v>
      </c>
      <c r="M4" s="87" t="s">
        <v>28</v>
      </c>
      <c r="N4" s="87" t="s">
        <v>28</v>
      </c>
      <c r="O4" s="87" t="s">
        <v>28</v>
      </c>
      <c r="P4" s="9"/>
      <c r="Q4" s="91" t="s">
        <v>29</v>
      </c>
      <c r="R4" s="91" t="s">
        <v>31</v>
      </c>
      <c r="S4" s="91" t="s">
        <v>23</v>
      </c>
      <c r="T4" s="7"/>
    </row>
    <row r="5" spans="1:20" ht="15.75" thickBot="1" x14ac:dyDescent="0.3">
      <c r="G5" s="188" t="s">
        <v>231</v>
      </c>
      <c r="H5" s="188" t="s">
        <v>231</v>
      </c>
      <c r="M5" s="88" t="s">
        <v>27</v>
      </c>
      <c r="N5" s="88" t="s">
        <v>26</v>
      </c>
      <c r="O5" s="88" t="s">
        <v>25</v>
      </c>
      <c r="P5" s="9"/>
      <c r="Q5" s="92" t="s">
        <v>30</v>
      </c>
      <c r="R5" s="92" t="s">
        <v>30</v>
      </c>
      <c r="S5" s="92" t="s">
        <v>30</v>
      </c>
      <c r="T5" s="7"/>
    </row>
    <row r="6" spans="1:20" ht="85.5" customHeight="1" thickBot="1" x14ac:dyDescent="0.3">
      <c r="B6" s="86" t="s">
        <v>1</v>
      </c>
      <c r="C6" s="86" t="s">
        <v>127</v>
      </c>
      <c r="D6" s="86" t="s">
        <v>107</v>
      </c>
      <c r="E6" s="86" t="s">
        <v>3</v>
      </c>
      <c r="F6" s="86" t="s">
        <v>4</v>
      </c>
      <c r="G6" s="110" t="s">
        <v>136</v>
      </c>
      <c r="H6" s="110" t="s">
        <v>137</v>
      </c>
      <c r="I6" s="110" t="s">
        <v>133</v>
      </c>
      <c r="J6" s="110" t="s">
        <v>134</v>
      </c>
      <c r="K6" s="110" t="s">
        <v>121</v>
      </c>
      <c r="L6" s="85" t="s">
        <v>5</v>
      </c>
      <c r="M6" s="89" t="s">
        <v>6</v>
      </c>
      <c r="N6" s="89" t="s">
        <v>6</v>
      </c>
      <c r="O6" s="89" t="s">
        <v>6</v>
      </c>
      <c r="P6" s="9"/>
      <c r="Q6" s="93"/>
      <c r="R6" s="99" t="s">
        <v>32</v>
      </c>
      <c r="S6" s="100" t="s">
        <v>33</v>
      </c>
    </row>
    <row r="7" spans="1:20" ht="26.25" customHeight="1" x14ac:dyDescent="0.25">
      <c r="B7" s="2" t="s">
        <v>8</v>
      </c>
      <c r="C7" s="94" t="s">
        <v>106</v>
      </c>
      <c r="D7" s="94" t="s">
        <v>246</v>
      </c>
      <c r="E7" s="2" t="s">
        <v>232</v>
      </c>
      <c r="F7" s="2" t="s">
        <v>7</v>
      </c>
      <c r="G7" s="191">
        <v>2.9600000000000001E-2</v>
      </c>
      <c r="H7" s="191">
        <v>0.1744</v>
      </c>
      <c r="I7" s="192">
        <v>44377</v>
      </c>
      <c r="J7" s="192">
        <v>44378</v>
      </c>
      <c r="K7" s="192">
        <v>44013</v>
      </c>
      <c r="L7" s="193" t="s">
        <v>234</v>
      </c>
      <c r="M7" s="80">
        <v>14554.98</v>
      </c>
      <c r="N7" s="69">
        <f>14571.48-M7</f>
        <v>16.5</v>
      </c>
      <c r="O7" s="69">
        <f>M7+N7</f>
        <v>14571.48</v>
      </c>
      <c r="P7" s="69"/>
      <c r="Q7" s="69">
        <f>308.76+2780+2280+2700+1800</f>
        <v>9868.76</v>
      </c>
      <c r="R7" s="69"/>
      <c r="S7" s="70">
        <f>Q7+R7</f>
        <v>9868.76</v>
      </c>
    </row>
    <row r="8" spans="1:20" ht="30.75" customHeight="1" x14ac:dyDescent="0.25">
      <c r="B8" s="205" t="s">
        <v>128</v>
      </c>
      <c r="C8" s="231" t="s">
        <v>122</v>
      </c>
      <c r="D8" s="95" t="s">
        <v>248</v>
      </c>
      <c r="E8" s="2" t="s">
        <v>233</v>
      </c>
      <c r="F8" s="2" t="s">
        <v>7</v>
      </c>
      <c r="G8" s="191">
        <v>2.81E-2</v>
      </c>
      <c r="H8" s="191">
        <v>0.1641</v>
      </c>
      <c r="I8" s="192">
        <v>44012</v>
      </c>
      <c r="J8" s="192">
        <v>44013</v>
      </c>
      <c r="K8" s="192">
        <f t="shared" ref="K8" si="0">+K7</f>
        <v>44013</v>
      </c>
      <c r="L8" s="193" t="s">
        <v>198</v>
      </c>
      <c r="M8" s="80">
        <v>3210</v>
      </c>
      <c r="N8" s="69"/>
      <c r="O8" s="69">
        <f>M8+N8</f>
        <v>3210</v>
      </c>
      <c r="P8" s="69"/>
      <c r="Q8" s="69">
        <v>3210</v>
      </c>
      <c r="R8" s="69"/>
      <c r="S8" s="70">
        <f>Q8+R8</f>
        <v>3210</v>
      </c>
    </row>
    <row r="9" spans="1:20" ht="30.75" customHeight="1" x14ac:dyDescent="0.25">
      <c r="B9" s="2" t="s">
        <v>241</v>
      </c>
      <c r="C9" s="243" t="s">
        <v>242</v>
      </c>
      <c r="D9" s="95" t="s">
        <v>243</v>
      </c>
      <c r="E9" s="2" t="s">
        <v>244</v>
      </c>
      <c r="F9" s="2" t="s">
        <v>7</v>
      </c>
      <c r="G9" s="191">
        <v>2.9600000000000001E-2</v>
      </c>
      <c r="H9" s="191">
        <v>0.1744</v>
      </c>
      <c r="I9" s="192">
        <v>44834</v>
      </c>
      <c r="J9" s="192">
        <v>44849</v>
      </c>
      <c r="K9" s="192">
        <v>43614</v>
      </c>
      <c r="L9" s="193" t="s">
        <v>311</v>
      </c>
      <c r="M9" s="80">
        <v>27551.59</v>
      </c>
      <c r="N9" s="69"/>
      <c r="O9" s="69">
        <f>M9+N9</f>
        <v>27551.59</v>
      </c>
      <c r="P9" s="69"/>
      <c r="Q9" s="69">
        <v>18094.349999999999</v>
      </c>
      <c r="R9" s="69"/>
      <c r="S9" s="70">
        <f>Q9+R9</f>
        <v>18094.349999999999</v>
      </c>
    </row>
    <row r="10" spans="1:20" ht="30.75" customHeight="1" x14ac:dyDescent="0.25">
      <c r="B10" s="2" t="s">
        <v>283</v>
      </c>
      <c r="C10" s="243" t="s">
        <v>264</v>
      </c>
      <c r="D10" s="95" t="s">
        <v>254</v>
      </c>
      <c r="E10" s="2" t="s">
        <v>284</v>
      </c>
      <c r="F10" s="2" t="s">
        <v>7</v>
      </c>
      <c r="G10" s="191">
        <f t="shared" ref="G10:H10" si="1">+G9</f>
        <v>2.9600000000000001E-2</v>
      </c>
      <c r="H10" s="191">
        <f t="shared" si="1"/>
        <v>0.1744</v>
      </c>
      <c r="I10" s="192">
        <v>44377</v>
      </c>
      <c r="J10" s="192">
        <v>44392</v>
      </c>
      <c r="K10" s="192">
        <v>43613</v>
      </c>
      <c r="L10" s="193" t="s">
        <v>234</v>
      </c>
      <c r="M10" s="81">
        <v>7302.48</v>
      </c>
      <c r="N10" s="69"/>
      <c r="O10" s="69">
        <f>M10+N10</f>
        <v>7302.48</v>
      </c>
      <c r="P10" s="69"/>
      <c r="Q10" s="69"/>
      <c r="R10" s="69"/>
      <c r="S10" s="70">
        <f>Q10+R10</f>
        <v>0</v>
      </c>
    </row>
    <row r="11" spans="1:20" ht="30.75" customHeight="1" x14ac:dyDescent="0.25">
      <c r="B11" s="2" t="s">
        <v>268</v>
      </c>
      <c r="C11" s="243" t="s">
        <v>269</v>
      </c>
      <c r="D11" s="95" t="s">
        <v>164</v>
      </c>
      <c r="E11" s="2" t="s">
        <v>285</v>
      </c>
      <c r="F11" s="2" t="s">
        <v>7</v>
      </c>
      <c r="G11" s="191">
        <f>+G9</f>
        <v>2.9600000000000001E-2</v>
      </c>
      <c r="H11" s="191">
        <f>+H9</f>
        <v>0.1744</v>
      </c>
      <c r="I11" s="192">
        <v>44393</v>
      </c>
      <c r="J11" s="192">
        <v>44408</v>
      </c>
      <c r="K11" s="192">
        <v>42644</v>
      </c>
      <c r="L11" s="193" t="s">
        <v>310</v>
      </c>
      <c r="M11" s="81">
        <v>27050</v>
      </c>
      <c r="N11" s="69"/>
      <c r="O11" s="69">
        <f>M11+N11</f>
        <v>27050</v>
      </c>
      <c r="P11" s="69"/>
      <c r="Q11" s="69">
        <v>27050</v>
      </c>
      <c r="R11" s="69"/>
      <c r="S11" s="70">
        <f>Q11+R11</f>
        <v>27050</v>
      </c>
    </row>
    <row r="12" spans="1:20" ht="30.75" customHeight="1" x14ac:dyDescent="0.25">
      <c r="B12" s="2" t="s">
        <v>318</v>
      </c>
      <c r="C12" s="243" t="s">
        <v>242</v>
      </c>
      <c r="D12" s="95" t="s">
        <v>243</v>
      </c>
      <c r="E12" s="2" t="s">
        <v>319</v>
      </c>
      <c r="F12" s="2" t="s">
        <v>7</v>
      </c>
      <c r="G12" s="191">
        <v>2.9600000000000001E-2</v>
      </c>
      <c r="H12" s="191">
        <v>0.1744</v>
      </c>
      <c r="I12" s="192">
        <v>44561</v>
      </c>
      <c r="J12" s="192">
        <v>44576</v>
      </c>
      <c r="K12" s="192">
        <v>43980</v>
      </c>
      <c r="L12" s="193" t="s">
        <v>320</v>
      </c>
      <c r="M12" s="81">
        <v>3000</v>
      </c>
      <c r="N12" s="69"/>
      <c r="O12" s="69">
        <f t="shared" ref="O12:O14" si="2">M12+N12</f>
        <v>3000</v>
      </c>
      <c r="P12" s="68"/>
      <c r="Q12" s="69"/>
      <c r="R12" s="69"/>
      <c r="S12" s="70">
        <f t="shared" ref="S12:S14" si="3">Q12+R12</f>
        <v>0</v>
      </c>
    </row>
    <row r="13" spans="1:20" ht="30.75" customHeight="1" x14ac:dyDescent="0.25">
      <c r="B13" s="2" t="s">
        <v>321</v>
      </c>
      <c r="C13" s="243" t="s">
        <v>264</v>
      </c>
      <c r="D13" s="95" t="s">
        <v>254</v>
      </c>
      <c r="E13" s="2" t="s">
        <v>322</v>
      </c>
      <c r="F13" s="2" t="s">
        <v>7</v>
      </c>
      <c r="G13" s="191">
        <v>2.9600000000000001E-2</v>
      </c>
      <c r="H13" s="191">
        <v>0.1744</v>
      </c>
      <c r="I13" s="192">
        <v>44742</v>
      </c>
      <c r="J13" s="192">
        <v>44757</v>
      </c>
      <c r="K13" s="192">
        <v>43979</v>
      </c>
      <c r="L13" s="193" t="s">
        <v>323</v>
      </c>
      <c r="M13" s="81">
        <v>1027</v>
      </c>
      <c r="N13" s="69"/>
      <c r="O13" s="69">
        <f t="shared" si="2"/>
        <v>1027</v>
      </c>
      <c r="P13" s="68"/>
      <c r="Q13" s="69">
        <v>278.74</v>
      </c>
      <c r="R13" s="69"/>
      <c r="S13" s="70">
        <f t="shared" si="3"/>
        <v>278.74</v>
      </c>
    </row>
    <row r="14" spans="1:20" ht="30.75" customHeight="1" x14ac:dyDescent="0.25">
      <c r="B14" s="2" t="s">
        <v>327</v>
      </c>
      <c r="C14" s="243" t="s">
        <v>242</v>
      </c>
      <c r="D14" s="95" t="s">
        <v>328</v>
      </c>
      <c r="E14" s="2" t="s">
        <v>329</v>
      </c>
      <c r="F14" s="2" t="s">
        <v>7</v>
      </c>
      <c r="G14" s="191">
        <v>2.9600000000000001E-2</v>
      </c>
      <c r="H14" s="191">
        <v>0.1744</v>
      </c>
      <c r="I14" s="192">
        <v>44440</v>
      </c>
      <c r="J14" s="192">
        <v>44440</v>
      </c>
      <c r="K14" s="192">
        <v>44201</v>
      </c>
      <c r="L14" s="193" t="s">
        <v>330</v>
      </c>
      <c r="M14" s="81">
        <v>61167.18</v>
      </c>
      <c r="N14" s="69"/>
      <c r="O14" s="69">
        <f t="shared" si="2"/>
        <v>61167.18</v>
      </c>
      <c r="P14" s="68"/>
      <c r="Q14" s="69">
        <f>5557.28</f>
        <v>5557.28</v>
      </c>
      <c r="R14" s="69"/>
      <c r="S14" s="70">
        <f t="shared" si="3"/>
        <v>5557.28</v>
      </c>
    </row>
    <row r="15" spans="1:20" x14ac:dyDescent="0.25">
      <c r="G15" s="207"/>
      <c r="H15" s="191" t="s">
        <v>100</v>
      </c>
      <c r="I15" s="192"/>
      <c r="J15" s="192"/>
      <c r="K15" s="192" t="s">
        <v>100</v>
      </c>
      <c r="L15" s="193"/>
      <c r="M15" s="24"/>
      <c r="N15" s="25"/>
      <c r="O15" s="25"/>
      <c r="P15" s="69"/>
      <c r="Q15" s="25"/>
      <c r="R15" s="25"/>
      <c r="S15" s="26"/>
    </row>
    <row r="16" spans="1:20" ht="21.75" customHeight="1" x14ac:dyDescent="0.25">
      <c r="C16" s="95"/>
      <c r="D16" s="95"/>
      <c r="G16" s="126"/>
      <c r="H16" s="126"/>
      <c r="I16" s="119"/>
      <c r="J16" s="119"/>
      <c r="K16" s="119" t="s">
        <v>100</v>
      </c>
      <c r="L16" s="21" t="s">
        <v>38</v>
      </c>
      <c r="M16" s="68">
        <f>SUM(M7:M15)</f>
        <v>144863.23000000001</v>
      </c>
      <c r="N16" s="68">
        <f t="shared" ref="N16:O16" si="4">SUM(N7:N15)</f>
        <v>16.5</v>
      </c>
      <c r="O16" s="68">
        <f t="shared" si="4"/>
        <v>144879.73000000001</v>
      </c>
      <c r="P16" s="68"/>
      <c r="Q16" s="68">
        <f t="shared" ref="Q16" si="5">SUM(Q7:Q15)</f>
        <v>64059.13</v>
      </c>
      <c r="R16" s="68">
        <f t="shared" ref="R16:S16" si="6">SUM(R7:R15)</f>
        <v>0</v>
      </c>
      <c r="S16" s="23">
        <f t="shared" si="6"/>
        <v>64059.13</v>
      </c>
    </row>
    <row r="17" spans="2:19" x14ac:dyDescent="0.25">
      <c r="B17" s="3"/>
      <c r="C17" s="95"/>
      <c r="D17" s="95"/>
      <c r="I17" s="119"/>
      <c r="J17" s="119"/>
      <c r="K17" s="119"/>
      <c r="L17" s="21"/>
      <c r="M17" s="68"/>
      <c r="N17" s="68"/>
      <c r="O17" s="68"/>
      <c r="P17" s="68"/>
      <c r="Q17" s="68"/>
      <c r="R17" s="68"/>
      <c r="S17" s="70"/>
    </row>
    <row r="18" spans="2:19" x14ac:dyDescent="0.25">
      <c r="C18" s="95"/>
      <c r="D18" s="95"/>
      <c r="S18" s="27"/>
    </row>
    <row r="19" spans="2:19" x14ac:dyDescent="0.25">
      <c r="B19" s="8" t="s">
        <v>125</v>
      </c>
      <c r="C19" s="94"/>
      <c r="D19" s="94"/>
      <c r="S19" s="27"/>
    </row>
    <row r="20" spans="2:19" ht="35.25" customHeight="1" x14ac:dyDescent="0.25">
      <c r="B20" s="338" t="s">
        <v>126</v>
      </c>
      <c r="C20" s="338"/>
      <c r="D20" s="338"/>
      <c r="E20" s="338"/>
      <c r="F20" s="338"/>
      <c r="S20" s="27"/>
    </row>
    <row r="21" spans="2:19" x14ac:dyDescent="0.25">
      <c r="C21" s="94"/>
      <c r="D21" s="94"/>
      <c r="S21" s="27"/>
    </row>
    <row r="22" spans="2:19" ht="47.25" customHeight="1" x14ac:dyDescent="0.25">
      <c r="B22" s="338" t="s">
        <v>129</v>
      </c>
      <c r="C22" s="338"/>
      <c r="D22" s="338"/>
      <c r="E22" s="338"/>
      <c r="F22" s="338"/>
      <c r="S22" s="27"/>
    </row>
    <row r="23" spans="2:19" x14ac:dyDescent="0.25">
      <c r="B23" s="111"/>
      <c r="C23" s="111"/>
      <c r="D23" s="111"/>
      <c r="E23" s="111"/>
      <c r="S23" s="27"/>
    </row>
    <row r="24" spans="2:19" ht="31.5" customHeight="1" x14ac:dyDescent="0.25">
      <c r="B24" s="338" t="s">
        <v>160</v>
      </c>
      <c r="C24" s="338"/>
      <c r="D24" s="338"/>
      <c r="E24" s="338"/>
      <c r="F24" s="338"/>
      <c r="S24" s="27"/>
    </row>
    <row r="25" spans="2:19" ht="15" customHeight="1" x14ac:dyDescent="0.25">
      <c r="B25" s="346" t="s">
        <v>159</v>
      </c>
      <c r="C25" s="338"/>
      <c r="D25" s="338"/>
      <c r="E25" s="338"/>
      <c r="F25" s="338"/>
      <c r="S25" s="27"/>
    </row>
    <row r="26" spans="2:19" ht="15" customHeight="1" x14ac:dyDescent="0.25">
      <c r="B26" s="200"/>
      <c r="C26" s="200"/>
      <c r="D26" s="200"/>
      <c r="E26" s="200"/>
      <c r="S26" s="27"/>
    </row>
    <row r="27" spans="2:19" x14ac:dyDescent="0.25">
      <c r="B27" s="7" t="s">
        <v>109</v>
      </c>
      <c r="C27" s="104" t="s">
        <v>112</v>
      </c>
      <c r="D27" s="104" t="s">
        <v>113</v>
      </c>
      <c r="E27" s="111"/>
      <c r="S27" s="27"/>
    </row>
    <row r="28" spans="2:19" x14ac:dyDescent="0.25">
      <c r="B28" s="2" t="s">
        <v>110</v>
      </c>
      <c r="C28" s="94" t="s">
        <v>116</v>
      </c>
      <c r="D28" s="94" t="s">
        <v>118</v>
      </c>
      <c r="E28" s="111"/>
      <c r="S28" s="27"/>
    </row>
    <row r="29" spans="2:19" x14ac:dyDescent="0.25">
      <c r="B29" s="106" t="s">
        <v>111</v>
      </c>
      <c r="C29" s="94" t="s">
        <v>114</v>
      </c>
      <c r="D29" s="94" t="s">
        <v>119</v>
      </c>
      <c r="S29" s="27"/>
    </row>
    <row r="30" spans="2:19" x14ac:dyDescent="0.25">
      <c r="B30" s="2" t="s">
        <v>252</v>
      </c>
      <c r="C30" s="94" t="s">
        <v>135</v>
      </c>
      <c r="D30" s="94" t="s">
        <v>147</v>
      </c>
      <c r="S30" s="27"/>
    </row>
    <row r="31" spans="2:19" x14ac:dyDescent="0.25">
      <c r="B31" s="2" t="s">
        <v>260</v>
      </c>
      <c r="C31" s="94" t="s">
        <v>135</v>
      </c>
      <c r="D31" s="94" t="s">
        <v>147</v>
      </c>
      <c r="S31" s="27"/>
    </row>
    <row r="32" spans="2:19" x14ac:dyDescent="0.25">
      <c r="B32" s="2" t="s">
        <v>267</v>
      </c>
      <c r="C32" s="94" t="s">
        <v>135</v>
      </c>
      <c r="D32" s="94" t="s">
        <v>147</v>
      </c>
      <c r="S32" s="27"/>
    </row>
    <row r="33" spans="2:20" x14ac:dyDescent="0.25">
      <c r="B33" s="2" t="s">
        <v>318</v>
      </c>
      <c r="C33" s="94" t="s">
        <v>135</v>
      </c>
      <c r="D33" s="94" t="s">
        <v>147</v>
      </c>
      <c r="S33" s="27"/>
    </row>
    <row r="34" spans="2:20" x14ac:dyDescent="0.25">
      <c r="B34" s="2" t="s">
        <v>321</v>
      </c>
      <c r="C34" s="94" t="s">
        <v>135</v>
      </c>
      <c r="D34" s="94" t="s">
        <v>147</v>
      </c>
      <c r="S34" s="27"/>
    </row>
    <row r="35" spans="2:20" x14ac:dyDescent="0.25">
      <c r="B35" s="2" t="s">
        <v>326</v>
      </c>
      <c r="C35" s="94" t="s">
        <v>135</v>
      </c>
      <c r="D35" s="94" t="s">
        <v>147</v>
      </c>
      <c r="S35" s="27"/>
    </row>
    <row r="36" spans="2:20" x14ac:dyDescent="0.25">
      <c r="C36" s="94"/>
      <c r="D36" s="94"/>
      <c r="S36" s="27"/>
    </row>
    <row r="37" spans="2:20" x14ac:dyDescent="0.25">
      <c r="B37" s="347" t="s">
        <v>235</v>
      </c>
      <c r="C37" s="333"/>
      <c r="D37" s="333"/>
      <c r="E37" s="333"/>
      <c r="F37" s="333"/>
      <c r="G37" s="333"/>
      <c r="H37" s="333"/>
      <c r="S37" s="27"/>
    </row>
    <row r="38" spans="2:20" x14ac:dyDescent="0.25">
      <c r="B38" s="249" t="s">
        <v>236</v>
      </c>
      <c r="C38" s="94"/>
      <c r="D38" s="94"/>
      <c r="S38" s="27"/>
    </row>
    <row r="39" spans="2:20" x14ac:dyDescent="0.25">
      <c r="B39" s="225"/>
      <c r="C39" s="96"/>
      <c r="D39" s="96"/>
      <c r="E39" s="10"/>
      <c r="F39" s="10"/>
      <c r="G39" s="10"/>
      <c r="H39" s="10"/>
      <c r="I39" s="10"/>
      <c r="J39" s="10"/>
      <c r="K39" s="10"/>
      <c r="L39" s="10"/>
      <c r="M39" s="10"/>
      <c r="N39" s="10"/>
      <c r="O39" s="10"/>
      <c r="P39" s="10"/>
      <c r="Q39" s="10"/>
      <c r="R39" s="10"/>
      <c r="S39" s="28"/>
    </row>
    <row r="40" spans="2:20" ht="15" customHeight="1" x14ac:dyDescent="0.25">
      <c r="C40" s="95"/>
      <c r="D40" s="95"/>
      <c r="Q40" s="59" t="s">
        <v>90</v>
      </c>
      <c r="R40" s="50"/>
      <c r="S40" s="170"/>
    </row>
    <row r="41" spans="2:20" ht="15" customHeight="1" x14ac:dyDescent="0.25">
      <c r="B41" s="17" t="s">
        <v>39</v>
      </c>
      <c r="C41" s="98" t="s">
        <v>2</v>
      </c>
      <c r="D41" s="98"/>
      <c r="E41" s="98" t="s">
        <v>34</v>
      </c>
      <c r="F41" s="98" t="s">
        <v>35</v>
      </c>
      <c r="G41" s="123"/>
      <c r="H41" s="123"/>
      <c r="I41" s="117"/>
      <c r="J41" s="98"/>
      <c r="K41" s="98"/>
      <c r="L41" s="98" t="s">
        <v>36</v>
      </c>
      <c r="M41" s="98" t="s">
        <v>37</v>
      </c>
      <c r="N41" s="47"/>
      <c r="O41" s="47"/>
      <c r="P41" s="47"/>
      <c r="Q41" s="54" t="s">
        <v>88</v>
      </c>
      <c r="R41" s="52"/>
      <c r="S41" s="53"/>
      <c r="T41" s="51"/>
    </row>
    <row r="42" spans="2:20" ht="15" customHeight="1" x14ac:dyDescent="0.25">
      <c r="B42" s="65"/>
      <c r="C42" s="9"/>
      <c r="D42" s="9"/>
      <c r="E42" s="9"/>
      <c r="F42" s="9"/>
      <c r="G42" s="9"/>
      <c r="H42" s="9"/>
      <c r="I42" s="9"/>
      <c r="J42" s="9"/>
      <c r="K42" s="9"/>
      <c r="L42" s="9"/>
      <c r="M42" s="9"/>
      <c r="N42" s="45"/>
      <c r="O42" s="45"/>
      <c r="P42" s="45"/>
      <c r="T42" s="51"/>
    </row>
    <row r="43" spans="2:20" x14ac:dyDescent="0.25">
      <c r="B43" s="65"/>
      <c r="C43" s="9"/>
      <c r="D43" s="9"/>
      <c r="E43" s="9"/>
      <c r="F43" s="9"/>
      <c r="G43" s="9"/>
      <c r="H43" s="9"/>
      <c r="I43" s="9"/>
      <c r="J43" s="9"/>
      <c r="K43" s="9"/>
      <c r="L43" s="9"/>
      <c r="M43" s="9"/>
      <c r="N43" s="45"/>
      <c r="O43" s="45"/>
      <c r="P43" s="45"/>
      <c r="Q43" s="59"/>
      <c r="R43" s="50"/>
      <c r="S43" s="50"/>
      <c r="T43" s="51"/>
    </row>
    <row r="44" spans="2:20" x14ac:dyDescent="0.25">
      <c r="B44" s="11"/>
      <c r="C44" s="9"/>
      <c r="D44" s="9"/>
      <c r="E44" s="9"/>
      <c r="R44" s="51"/>
      <c r="S44" s="51"/>
      <c r="T44" s="51"/>
    </row>
    <row r="45" spans="2:20" x14ac:dyDescent="0.25">
      <c r="B45" s="12"/>
      <c r="C45" s="13"/>
      <c r="D45" s="13"/>
      <c r="E45" s="41"/>
      <c r="F45" s="15"/>
      <c r="G45" s="15"/>
      <c r="H45" s="15"/>
      <c r="I45" s="15"/>
      <c r="J45" s="15"/>
      <c r="K45" s="15"/>
      <c r="L45" s="16"/>
      <c r="M45" s="20"/>
      <c r="N45" s="18"/>
      <c r="O45" s="18"/>
      <c r="P45" s="18"/>
    </row>
    <row r="46" spans="2:20" x14ac:dyDescent="0.25">
      <c r="B46" s="12"/>
      <c r="C46" s="13"/>
      <c r="D46" s="13"/>
      <c r="E46" s="41"/>
      <c r="F46" s="15"/>
      <c r="G46" s="15"/>
      <c r="H46" s="15"/>
      <c r="I46" s="15"/>
      <c r="J46" s="15"/>
      <c r="K46" s="15"/>
      <c r="L46" s="16"/>
      <c r="M46" s="20"/>
      <c r="N46" s="18"/>
      <c r="O46" s="18"/>
      <c r="P46" s="18"/>
    </row>
    <row r="47" spans="2:20" x14ac:dyDescent="0.25">
      <c r="B47" s="12"/>
      <c r="C47" s="13"/>
      <c r="D47" s="13"/>
      <c r="E47" s="41"/>
      <c r="F47" s="15"/>
      <c r="G47" s="15"/>
      <c r="H47" s="15"/>
      <c r="I47" s="15"/>
      <c r="J47" s="15"/>
      <c r="K47" s="15"/>
      <c r="L47" s="16"/>
      <c r="M47" s="20"/>
      <c r="N47" s="18"/>
      <c r="O47" s="18"/>
      <c r="P47" s="18"/>
    </row>
    <row r="48" spans="2:20" x14ac:dyDescent="0.25">
      <c r="B48" s="12"/>
      <c r="C48" s="13"/>
      <c r="D48" s="13"/>
      <c r="E48" s="41"/>
      <c r="F48" s="15"/>
      <c r="G48" s="15"/>
      <c r="H48" s="15"/>
      <c r="I48" s="15"/>
      <c r="J48" s="15"/>
      <c r="K48" s="15"/>
      <c r="L48" s="16"/>
      <c r="M48" s="20"/>
      <c r="N48" s="18"/>
      <c r="O48" s="18"/>
      <c r="P48" s="18"/>
    </row>
    <row r="50" spans="17:19" x14ac:dyDescent="0.25">
      <c r="Q50" s="325" t="s">
        <v>343</v>
      </c>
      <c r="R50" s="325"/>
      <c r="S50" s="329">
        <f>S16</f>
        <v>64059.13</v>
      </c>
    </row>
  </sheetData>
  <mergeCells count="7">
    <mergeCell ref="B37:H37"/>
    <mergeCell ref="B25:F25"/>
    <mergeCell ref="Q1:S1"/>
    <mergeCell ref="Q2:S2"/>
    <mergeCell ref="B24:F24"/>
    <mergeCell ref="B20:F20"/>
    <mergeCell ref="B22:F22"/>
  </mergeCells>
  <hyperlinks>
    <hyperlink ref="B25" r:id="rId1"/>
  </hyperlinks>
  <printOptions horizontalCentered="1" gridLines="1"/>
  <pageMargins left="0" right="0" top="0.75" bottom="0.75" header="0.3" footer="0.3"/>
  <pageSetup scale="54" orientation="landscape" horizontalDpi="1200" verticalDpi="1200"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0"/>
  <sheetViews>
    <sheetView topLeftCell="C23" zoomScale="90" zoomScaleNormal="90" workbookViewId="0">
      <selection activeCell="S50" sqref="S50"/>
    </sheetView>
  </sheetViews>
  <sheetFormatPr defaultColWidth="9.140625" defaultRowHeight="15" x14ac:dyDescent="0.25"/>
  <cols>
    <col min="1" max="1" width="5.28515625" style="2" hidden="1" customWidth="1"/>
    <col min="2" max="2" width="59" style="2" customWidth="1"/>
    <col min="3" max="3" width="26.140625" style="2" customWidth="1"/>
    <col min="4" max="4" width="14.85546875" style="2" customWidth="1"/>
    <col min="5" max="5" width="18" style="2" customWidth="1"/>
    <col min="6" max="6" width="21.7109375" style="2" customWidth="1"/>
    <col min="7" max="7" width="10.28515625" style="2" customWidth="1"/>
    <col min="8" max="8" width="12.85546875" style="2" customWidth="1"/>
    <col min="9" max="9" width="13.42578125" style="2" customWidth="1"/>
    <col min="10" max="10" width="15.7109375" style="2" customWidth="1"/>
    <col min="11" max="11" width="8.85546875" style="2" customWidth="1"/>
    <col min="12" max="12" width="18.42578125" style="2" customWidth="1"/>
    <col min="13" max="13" width="13.28515625" style="2" bestFit="1" customWidth="1"/>
    <col min="14" max="14" width="13.7109375" style="2" customWidth="1"/>
    <col min="15" max="15" width="14.42578125" style="2" customWidth="1"/>
    <col min="16" max="16" width="3.140625" style="2" customWidth="1"/>
    <col min="17" max="17" width="13.85546875" style="2" customWidth="1"/>
    <col min="18" max="18" width="14.140625" style="2" customWidth="1"/>
    <col min="19" max="19" width="16.7109375" style="2" customWidth="1"/>
    <col min="20" max="16384" width="9.140625" style="2"/>
  </cols>
  <sheetData>
    <row r="1" spans="1:20" ht="18" customHeight="1" x14ac:dyDescent="0.25">
      <c r="A1" s="2" t="s">
        <v>342</v>
      </c>
      <c r="B1" s="8" t="s">
        <v>188</v>
      </c>
      <c r="Q1" s="335" t="s">
        <v>230</v>
      </c>
      <c r="R1" s="335"/>
      <c r="S1" s="335"/>
    </row>
    <row r="2" spans="1:20" ht="18" customHeight="1" x14ac:dyDescent="0.25">
      <c r="B2" s="90" t="s">
        <v>148</v>
      </c>
      <c r="C2" s="187">
        <v>44377</v>
      </c>
      <c r="M2" s="73"/>
      <c r="N2" s="73"/>
      <c r="P2" s="29"/>
      <c r="Q2" s="334" t="s">
        <v>338</v>
      </c>
      <c r="R2" s="334"/>
      <c r="S2" s="334"/>
    </row>
    <row r="3" spans="1:20" ht="18" customHeight="1" thickBot="1" x14ac:dyDescent="0.3">
      <c r="A3" s="2" t="s">
        <v>16</v>
      </c>
      <c r="B3" s="44" t="s">
        <v>142</v>
      </c>
      <c r="C3" s="8"/>
      <c r="D3" s="8"/>
      <c r="E3" s="8"/>
      <c r="P3" s="29"/>
      <c r="Q3" s="45"/>
      <c r="R3" s="30"/>
    </row>
    <row r="4" spans="1:20" ht="18.75" customHeight="1" x14ac:dyDescent="0.25">
      <c r="B4" s="8" t="s">
        <v>174</v>
      </c>
      <c r="M4" s="87" t="s">
        <v>28</v>
      </c>
      <c r="N4" s="87" t="s">
        <v>28</v>
      </c>
      <c r="O4" s="87" t="s">
        <v>28</v>
      </c>
      <c r="P4" s="153"/>
      <c r="Q4" s="91" t="s">
        <v>29</v>
      </c>
      <c r="R4" s="91" t="s">
        <v>31</v>
      </c>
      <c r="S4" s="91" t="s">
        <v>23</v>
      </c>
      <c r="T4" s="7"/>
    </row>
    <row r="5" spans="1:20" ht="15.75" thickBot="1" x14ac:dyDescent="0.3">
      <c r="G5" s="188" t="s">
        <v>231</v>
      </c>
      <c r="H5" s="188" t="s">
        <v>231</v>
      </c>
      <c r="M5" s="88" t="s">
        <v>27</v>
      </c>
      <c r="N5" s="88" t="s">
        <v>26</v>
      </c>
      <c r="O5" s="88" t="s">
        <v>25</v>
      </c>
      <c r="P5" s="153"/>
      <c r="Q5" s="92" t="s">
        <v>30</v>
      </c>
      <c r="R5" s="92" t="s">
        <v>30</v>
      </c>
      <c r="S5" s="92" t="s">
        <v>30</v>
      </c>
      <c r="T5" s="7"/>
    </row>
    <row r="6" spans="1:20" ht="85.5" customHeight="1" thickBot="1" x14ac:dyDescent="0.3">
      <c r="B6" s="86" t="s">
        <v>1</v>
      </c>
      <c r="C6" s="86" t="s">
        <v>127</v>
      </c>
      <c r="D6" s="86" t="s">
        <v>107</v>
      </c>
      <c r="E6" s="86" t="s">
        <v>3</v>
      </c>
      <c r="F6" s="86" t="s">
        <v>4</v>
      </c>
      <c r="G6" s="110" t="s">
        <v>136</v>
      </c>
      <c r="H6" s="110" t="s">
        <v>137</v>
      </c>
      <c r="I6" s="110" t="s">
        <v>133</v>
      </c>
      <c r="J6" s="110" t="s">
        <v>134</v>
      </c>
      <c r="K6" s="110" t="s">
        <v>121</v>
      </c>
      <c r="L6" s="85" t="s">
        <v>5</v>
      </c>
      <c r="M6" s="89" t="s">
        <v>6</v>
      </c>
      <c r="N6" s="89" t="s">
        <v>6</v>
      </c>
      <c r="O6" s="89" t="s">
        <v>6</v>
      </c>
      <c r="P6" s="153"/>
      <c r="Q6" s="93"/>
      <c r="R6" s="99" t="s">
        <v>32</v>
      </c>
      <c r="S6" s="100" t="s">
        <v>33</v>
      </c>
    </row>
    <row r="7" spans="1:20" ht="25.5" customHeight="1" x14ac:dyDescent="0.25">
      <c r="B7" s="2" t="s">
        <v>8</v>
      </c>
      <c r="C7" s="94" t="s">
        <v>106</v>
      </c>
      <c r="D7" s="94" t="s">
        <v>246</v>
      </c>
      <c r="E7" s="2" t="s">
        <v>232</v>
      </c>
      <c r="F7" s="2" t="s">
        <v>7</v>
      </c>
      <c r="G7" s="191">
        <v>2.9600000000000001E-2</v>
      </c>
      <c r="H7" s="191">
        <v>0.1744</v>
      </c>
      <c r="I7" s="192">
        <v>44377</v>
      </c>
      <c r="J7" s="192">
        <v>44378</v>
      </c>
      <c r="K7" s="192">
        <v>44013</v>
      </c>
      <c r="L7" s="193" t="s">
        <v>234</v>
      </c>
      <c r="M7" s="80">
        <v>89094.12</v>
      </c>
      <c r="N7" s="69">
        <f>89195.12-M7</f>
        <v>101</v>
      </c>
      <c r="O7" s="69">
        <f>M7+N7</f>
        <v>89195.12</v>
      </c>
      <c r="P7" s="69"/>
      <c r="Q7" s="69">
        <f>24897.68+10041.67+50535.05+1775.74</f>
        <v>87250.14</v>
      </c>
      <c r="R7" s="69"/>
      <c r="S7" s="70">
        <f>+Q7</f>
        <v>87250.14</v>
      </c>
    </row>
    <row r="8" spans="1:20" ht="20.45" hidden="1" customHeight="1" x14ac:dyDescent="0.25">
      <c r="B8" s="2" t="s">
        <v>138</v>
      </c>
      <c r="C8" s="113" t="s">
        <v>187</v>
      </c>
      <c r="D8" s="94" t="s">
        <v>173</v>
      </c>
      <c r="E8" s="2" t="s">
        <v>233</v>
      </c>
      <c r="F8" s="2" t="s">
        <v>7</v>
      </c>
      <c r="G8" s="191">
        <f>G7</f>
        <v>2.9600000000000001E-2</v>
      </c>
      <c r="H8" s="191">
        <f>H7</f>
        <v>0.1744</v>
      </c>
      <c r="I8" s="192">
        <f>I7</f>
        <v>44377</v>
      </c>
      <c r="J8" s="192">
        <f>J7</f>
        <v>44378</v>
      </c>
      <c r="K8" s="192">
        <v>43282</v>
      </c>
      <c r="L8" s="193" t="str">
        <f>L7</f>
        <v>07/01/20 - 06/30/21</v>
      </c>
      <c r="M8" s="80"/>
      <c r="N8" s="69"/>
      <c r="O8" s="69">
        <f>M8+N8</f>
        <v>0</v>
      </c>
      <c r="P8" s="69"/>
      <c r="Q8" s="69"/>
      <c r="R8" s="69"/>
      <c r="S8" s="70">
        <f>+Q8</f>
        <v>0</v>
      </c>
    </row>
    <row r="9" spans="1:20" ht="35.25" customHeight="1" x14ac:dyDescent="0.25">
      <c r="B9" s="205" t="s">
        <v>128</v>
      </c>
      <c r="C9" s="231" t="s">
        <v>122</v>
      </c>
      <c r="D9" s="95" t="s">
        <v>248</v>
      </c>
      <c r="E9" s="2" t="s">
        <v>233</v>
      </c>
      <c r="F9" s="2" t="s">
        <v>7</v>
      </c>
      <c r="G9" s="191">
        <f>+G7</f>
        <v>2.9600000000000001E-2</v>
      </c>
      <c r="H9" s="191">
        <f>+H7</f>
        <v>0.1744</v>
      </c>
      <c r="I9" s="192">
        <f t="shared" ref="I9:L9" si="0">+I7</f>
        <v>44377</v>
      </c>
      <c r="J9" s="192">
        <f t="shared" si="0"/>
        <v>44378</v>
      </c>
      <c r="K9" s="192">
        <f t="shared" si="0"/>
        <v>44013</v>
      </c>
      <c r="L9" s="193" t="str">
        <f t="shared" si="0"/>
        <v>07/01/20 - 06/30/21</v>
      </c>
      <c r="M9" s="80">
        <v>12207.76</v>
      </c>
      <c r="N9" s="69"/>
      <c r="O9" s="69">
        <f>M9+N9</f>
        <v>12207.76</v>
      </c>
      <c r="P9" s="69"/>
      <c r="Q9" s="69">
        <v>12207.76</v>
      </c>
      <c r="R9" s="69"/>
      <c r="S9" s="70">
        <f>Q9+R9</f>
        <v>12207.76</v>
      </c>
    </row>
    <row r="10" spans="1:20" ht="35.25" customHeight="1" x14ac:dyDescent="0.25">
      <c r="B10" s="2" t="s">
        <v>241</v>
      </c>
      <c r="C10" s="243" t="s">
        <v>242</v>
      </c>
      <c r="D10" s="95" t="s">
        <v>243</v>
      </c>
      <c r="E10" s="2" t="s">
        <v>244</v>
      </c>
      <c r="F10" s="2" t="s">
        <v>7</v>
      </c>
      <c r="G10" s="191">
        <v>2.9600000000000001E-2</v>
      </c>
      <c r="H10" s="191">
        <v>0.1744</v>
      </c>
      <c r="I10" s="192">
        <v>44834</v>
      </c>
      <c r="J10" s="192">
        <v>44849</v>
      </c>
      <c r="K10" s="192">
        <v>43614</v>
      </c>
      <c r="L10" s="193" t="s">
        <v>311</v>
      </c>
      <c r="M10" s="80">
        <v>44097.73</v>
      </c>
      <c r="N10" s="69"/>
      <c r="O10" s="69">
        <f>M10+N10</f>
        <v>44097.73</v>
      </c>
      <c r="P10" s="69"/>
      <c r="Q10" s="69"/>
      <c r="R10" s="69"/>
      <c r="S10" s="70">
        <f>Q10+R10</f>
        <v>0</v>
      </c>
    </row>
    <row r="11" spans="1:20" ht="35.25" customHeight="1" x14ac:dyDescent="0.25">
      <c r="B11" s="2" t="s">
        <v>283</v>
      </c>
      <c r="C11" s="243" t="s">
        <v>264</v>
      </c>
      <c r="D11" s="95" t="s">
        <v>254</v>
      </c>
      <c r="E11" s="2" t="s">
        <v>284</v>
      </c>
      <c r="F11" s="2" t="s">
        <v>7</v>
      </c>
      <c r="G11" s="191">
        <f t="shared" ref="G11:H11" si="1">+G10</f>
        <v>2.9600000000000001E-2</v>
      </c>
      <c r="H11" s="191">
        <f t="shared" si="1"/>
        <v>0.1744</v>
      </c>
      <c r="I11" s="192">
        <v>44377</v>
      </c>
      <c r="J11" s="192">
        <v>44392</v>
      </c>
      <c r="K11" s="192">
        <v>43613</v>
      </c>
      <c r="L11" s="193" t="s">
        <v>234</v>
      </c>
      <c r="M11" s="81">
        <v>7302.48</v>
      </c>
      <c r="N11" s="69"/>
      <c r="O11" s="69">
        <f>M11+N11</f>
        <v>7302.48</v>
      </c>
      <c r="P11" s="69"/>
      <c r="Q11" s="69"/>
      <c r="R11" s="69"/>
      <c r="S11" s="70">
        <f>Q11+R11</f>
        <v>0</v>
      </c>
    </row>
    <row r="12" spans="1:20" ht="35.25" customHeight="1" x14ac:dyDescent="0.25">
      <c r="B12" s="2" t="s">
        <v>318</v>
      </c>
      <c r="C12" s="243" t="s">
        <v>242</v>
      </c>
      <c r="D12" s="95" t="s">
        <v>243</v>
      </c>
      <c r="E12" s="2" t="s">
        <v>319</v>
      </c>
      <c r="F12" s="2" t="s">
        <v>7</v>
      </c>
      <c r="G12" s="191">
        <v>2.9600000000000001E-2</v>
      </c>
      <c r="H12" s="191">
        <v>0.1744</v>
      </c>
      <c r="I12" s="192">
        <v>44561</v>
      </c>
      <c r="J12" s="192">
        <v>44576</v>
      </c>
      <c r="K12" s="192">
        <v>43980</v>
      </c>
      <c r="L12" s="193" t="s">
        <v>320</v>
      </c>
      <c r="M12" s="81">
        <v>3000</v>
      </c>
      <c r="N12" s="69"/>
      <c r="O12" s="69">
        <f t="shared" ref="O12:O14" si="2">M12+N12</f>
        <v>3000</v>
      </c>
      <c r="P12" s="68"/>
      <c r="Q12" s="69"/>
      <c r="R12" s="69"/>
      <c r="S12" s="70">
        <f t="shared" ref="S12:S14" si="3">Q12+R12</f>
        <v>0</v>
      </c>
    </row>
    <row r="13" spans="1:20" ht="35.25" customHeight="1" x14ac:dyDescent="0.25">
      <c r="B13" s="2" t="s">
        <v>321</v>
      </c>
      <c r="C13" s="243" t="s">
        <v>264</v>
      </c>
      <c r="D13" s="95" t="s">
        <v>254</v>
      </c>
      <c r="E13" s="2" t="s">
        <v>322</v>
      </c>
      <c r="F13" s="2" t="s">
        <v>7</v>
      </c>
      <c r="G13" s="191">
        <v>2.9600000000000001E-2</v>
      </c>
      <c r="H13" s="191">
        <v>0.1744</v>
      </c>
      <c r="I13" s="192">
        <v>44742</v>
      </c>
      <c r="J13" s="192">
        <v>44757</v>
      </c>
      <c r="K13" s="192">
        <v>43979</v>
      </c>
      <c r="L13" s="193" t="s">
        <v>323</v>
      </c>
      <c r="M13" s="81">
        <v>1027</v>
      </c>
      <c r="N13" s="69"/>
      <c r="O13" s="69">
        <f t="shared" si="2"/>
        <v>1027</v>
      </c>
      <c r="P13" s="68"/>
      <c r="Q13" s="69"/>
      <c r="R13" s="69"/>
      <c r="S13" s="70">
        <f t="shared" si="3"/>
        <v>0</v>
      </c>
    </row>
    <row r="14" spans="1:20" ht="35.25" customHeight="1" x14ac:dyDescent="0.25">
      <c r="B14" s="2" t="s">
        <v>327</v>
      </c>
      <c r="C14" s="243" t="s">
        <v>242</v>
      </c>
      <c r="D14" s="95" t="s">
        <v>328</v>
      </c>
      <c r="E14" s="2" t="s">
        <v>329</v>
      </c>
      <c r="F14" s="2" t="s">
        <v>7</v>
      </c>
      <c r="G14" s="191">
        <v>2.9600000000000001E-2</v>
      </c>
      <c r="H14" s="191">
        <v>0.1744</v>
      </c>
      <c r="I14" s="192">
        <v>44440</v>
      </c>
      <c r="J14" s="192">
        <v>44440</v>
      </c>
      <c r="K14" s="192">
        <v>44201</v>
      </c>
      <c r="L14" s="193" t="s">
        <v>330</v>
      </c>
      <c r="M14" s="81">
        <v>107562.31</v>
      </c>
      <c r="N14" s="69"/>
      <c r="O14" s="69">
        <f t="shared" si="2"/>
        <v>107562.31</v>
      </c>
      <c r="P14" s="68"/>
      <c r="Q14" s="69"/>
      <c r="R14" s="69"/>
      <c r="S14" s="70">
        <f t="shared" si="3"/>
        <v>0</v>
      </c>
    </row>
    <row r="15" spans="1:20" ht="15" customHeight="1" x14ac:dyDescent="0.25">
      <c r="B15" s="199"/>
      <c r="C15" s="243"/>
      <c r="D15" s="95"/>
      <c r="G15" s="127"/>
      <c r="H15" s="127"/>
      <c r="I15" s="119"/>
      <c r="J15" s="119"/>
      <c r="K15" s="119"/>
      <c r="L15" s="95"/>
      <c r="M15" s="24"/>
      <c r="N15" s="25"/>
      <c r="O15" s="25"/>
      <c r="P15" s="69"/>
      <c r="Q15" s="25"/>
      <c r="R15" s="25"/>
      <c r="S15" s="26"/>
    </row>
    <row r="16" spans="1:20" ht="24.75" customHeight="1" x14ac:dyDescent="0.25">
      <c r="C16" s="95"/>
      <c r="D16" s="95"/>
      <c r="G16" s="126"/>
      <c r="H16" s="126"/>
      <c r="I16" s="119"/>
      <c r="J16" s="119"/>
      <c r="K16" s="119" t="s">
        <v>100</v>
      </c>
      <c r="L16" s="21" t="s">
        <v>38</v>
      </c>
      <c r="M16" s="68">
        <f>SUM(M7:M15)</f>
        <v>264291.40000000002</v>
      </c>
      <c r="N16" s="68">
        <f>SUM(N7:N15)</f>
        <v>101</v>
      </c>
      <c r="O16" s="68">
        <f>SUM(O7:O15)</f>
        <v>264392.40000000002</v>
      </c>
      <c r="P16" s="68"/>
      <c r="Q16" s="68">
        <f>SUM(Q7:Q15)</f>
        <v>99457.9</v>
      </c>
      <c r="R16" s="68">
        <f>SUM(R7:R15)</f>
        <v>0</v>
      </c>
      <c r="S16" s="23">
        <f>SUM(S7:S15)</f>
        <v>99457.9</v>
      </c>
    </row>
    <row r="17" spans="2:19" x14ac:dyDescent="0.25">
      <c r="C17" s="95"/>
      <c r="D17" s="95"/>
      <c r="G17" s="126"/>
      <c r="H17" s="126"/>
      <c r="I17" s="119"/>
      <c r="J17" s="119"/>
      <c r="K17" s="119"/>
      <c r="L17" s="21"/>
      <c r="M17" s="68"/>
      <c r="N17" s="68"/>
      <c r="O17" s="68"/>
      <c r="P17" s="68"/>
      <c r="Q17" s="68"/>
      <c r="R17" s="68"/>
      <c r="S17" s="70"/>
    </row>
    <row r="18" spans="2:19" x14ac:dyDescent="0.25">
      <c r="B18" s="3"/>
      <c r="C18" s="95"/>
      <c r="D18" s="95"/>
      <c r="I18" s="119"/>
      <c r="J18" s="119"/>
      <c r="K18" s="119"/>
      <c r="L18" s="21"/>
      <c r="M18" s="68"/>
      <c r="N18" s="68"/>
      <c r="O18" s="68"/>
      <c r="P18" s="68"/>
      <c r="Q18" s="68"/>
      <c r="R18" s="68"/>
      <c r="S18" s="70"/>
    </row>
    <row r="19" spans="2:19" x14ac:dyDescent="0.25">
      <c r="B19" s="8" t="s">
        <v>125</v>
      </c>
      <c r="C19" s="94"/>
      <c r="D19" s="94"/>
      <c r="S19" s="27"/>
    </row>
    <row r="20" spans="2:19" ht="36" customHeight="1" x14ac:dyDescent="0.25">
      <c r="B20" s="338" t="s">
        <v>126</v>
      </c>
      <c r="C20" s="338"/>
      <c r="D20" s="338"/>
      <c r="E20" s="338"/>
      <c r="F20" s="338"/>
      <c r="S20" s="27"/>
    </row>
    <row r="21" spans="2:19" x14ac:dyDescent="0.25">
      <c r="C21" s="94"/>
      <c r="D21" s="94"/>
      <c r="S21" s="27"/>
    </row>
    <row r="22" spans="2:19" ht="50.25" customHeight="1" x14ac:dyDescent="0.25">
      <c r="B22" s="338" t="s">
        <v>129</v>
      </c>
      <c r="C22" s="338"/>
      <c r="D22" s="338"/>
      <c r="E22" s="338"/>
      <c r="F22" s="338"/>
      <c r="S22" s="27"/>
    </row>
    <row r="23" spans="2:19" x14ac:dyDescent="0.25">
      <c r="B23" s="198"/>
      <c r="C23" s="198"/>
      <c r="D23" s="198"/>
      <c r="E23" s="198"/>
      <c r="F23" s="198"/>
      <c r="S23" s="27"/>
    </row>
    <row r="24" spans="2:19" ht="34.5" customHeight="1" x14ac:dyDescent="0.25">
      <c r="B24" s="338" t="s">
        <v>160</v>
      </c>
      <c r="C24" s="338"/>
      <c r="D24" s="338"/>
      <c r="E24" s="338"/>
      <c r="F24" s="338"/>
      <c r="S24" s="27"/>
    </row>
    <row r="25" spans="2:19" ht="15" customHeight="1" x14ac:dyDescent="0.25">
      <c r="B25" s="346" t="s">
        <v>159</v>
      </c>
      <c r="C25" s="338"/>
      <c r="D25" s="338"/>
      <c r="E25" s="338"/>
      <c r="F25" s="338"/>
      <c r="S25" s="27"/>
    </row>
    <row r="26" spans="2:19" ht="15" customHeight="1" x14ac:dyDescent="0.25">
      <c r="B26" s="200"/>
      <c r="C26" s="200"/>
      <c r="D26" s="200"/>
      <c r="E26" s="200"/>
      <c r="S26" s="27"/>
    </row>
    <row r="27" spans="2:19" x14ac:dyDescent="0.25">
      <c r="B27" s="181"/>
      <c r="C27" s="181"/>
      <c r="D27" s="181"/>
      <c r="E27" s="181"/>
      <c r="S27" s="27"/>
    </row>
    <row r="28" spans="2:19" x14ac:dyDescent="0.25">
      <c r="B28" s="7" t="s">
        <v>109</v>
      </c>
      <c r="C28" s="104" t="s">
        <v>112</v>
      </c>
      <c r="D28" s="104" t="s">
        <v>113</v>
      </c>
      <c r="E28" s="181"/>
      <c r="S28" s="27"/>
    </row>
    <row r="29" spans="2:19" x14ac:dyDescent="0.25">
      <c r="B29" s="2" t="s">
        <v>110</v>
      </c>
      <c r="C29" s="94" t="s">
        <v>116</v>
      </c>
      <c r="D29" s="94" t="s">
        <v>118</v>
      </c>
      <c r="E29" s="181"/>
      <c r="S29" s="27"/>
    </row>
    <row r="30" spans="2:19" ht="15" customHeight="1" x14ac:dyDescent="0.25">
      <c r="B30" s="268" t="s">
        <v>111</v>
      </c>
      <c r="C30" s="94" t="s">
        <v>114</v>
      </c>
      <c r="D30" s="94" t="s">
        <v>119</v>
      </c>
      <c r="S30" s="27"/>
    </row>
    <row r="31" spans="2:19" ht="15" customHeight="1" x14ac:dyDescent="0.25">
      <c r="B31" s="2" t="s">
        <v>252</v>
      </c>
      <c r="C31" s="94" t="s">
        <v>135</v>
      </c>
      <c r="D31" s="94" t="s">
        <v>147</v>
      </c>
      <c r="S31" s="27"/>
    </row>
    <row r="32" spans="2:19" ht="15" customHeight="1" x14ac:dyDescent="0.25">
      <c r="B32" s="2" t="s">
        <v>260</v>
      </c>
      <c r="C32" s="94" t="s">
        <v>135</v>
      </c>
      <c r="D32" s="94" t="s">
        <v>147</v>
      </c>
      <c r="S32" s="27"/>
    </row>
    <row r="33" spans="2:20" ht="15" customHeight="1" x14ac:dyDescent="0.25">
      <c r="B33" s="2" t="s">
        <v>318</v>
      </c>
      <c r="C33" s="94" t="s">
        <v>135</v>
      </c>
      <c r="D33" s="94" t="s">
        <v>147</v>
      </c>
      <c r="S33" s="27"/>
    </row>
    <row r="34" spans="2:20" ht="15" customHeight="1" x14ac:dyDescent="0.25">
      <c r="B34" s="2" t="s">
        <v>321</v>
      </c>
      <c r="C34" s="94" t="s">
        <v>135</v>
      </c>
      <c r="D34" s="94" t="s">
        <v>147</v>
      </c>
      <c r="S34" s="27"/>
    </row>
    <row r="35" spans="2:20" ht="15" customHeight="1" x14ac:dyDescent="0.25">
      <c r="B35" s="2" t="s">
        <v>326</v>
      </c>
      <c r="C35" s="94" t="s">
        <v>135</v>
      </c>
      <c r="D35" s="94" t="s">
        <v>147</v>
      </c>
      <c r="S35" s="27"/>
    </row>
    <row r="36" spans="2:20" ht="15" customHeight="1" x14ac:dyDescent="0.25">
      <c r="C36" s="94"/>
      <c r="D36" s="94"/>
      <c r="S36" s="27"/>
    </row>
    <row r="37" spans="2:20" ht="15" customHeight="1" x14ac:dyDescent="0.25">
      <c r="B37" s="347" t="s">
        <v>235</v>
      </c>
      <c r="C37" s="333"/>
      <c r="D37" s="333"/>
      <c r="E37" s="333"/>
      <c r="F37" s="333"/>
      <c r="G37" s="333"/>
      <c r="H37" s="333"/>
      <c r="S37" s="27"/>
    </row>
    <row r="38" spans="2:20" ht="15" customHeight="1" x14ac:dyDescent="0.25">
      <c r="B38" s="266" t="s">
        <v>236</v>
      </c>
      <c r="C38" s="94"/>
      <c r="D38" s="94"/>
      <c r="S38" s="27"/>
    </row>
    <row r="39" spans="2:20" ht="15" customHeight="1" x14ac:dyDescent="0.25">
      <c r="B39" s="227"/>
      <c r="C39" s="96"/>
      <c r="D39" s="96"/>
      <c r="E39" s="10"/>
      <c r="F39" s="10"/>
      <c r="G39" s="10"/>
      <c r="H39" s="10"/>
      <c r="I39" s="10"/>
      <c r="J39" s="10"/>
      <c r="K39" s="10"/>
      <c r="L39" s="10"/>
      <c r="M39" s="10"/>
      <c r="N39" s="10"/>
      <c r="O39" s="10"/>
      <c r="P39" s="10"/>
      <c r="Q39" s="10"/>
      <c r="R39" s="10"/>
      <c r="S39" s="28"/>
    </row>
    <row r="40" spans="2:20" ht="15" customHeight="1" x14ac:dyDescent="0.25">
      <c r="C40" s="95"/>
      <c r="D40" s="95"/>
      <c r="Q40" s="59" t="s">
        <v>90</v>
      </c>
      <c r="R40" s="50"/>
      <c r="S40" s="170"/>
    </row>
    <row r="41" spans="2:20" x14ac:dyDescent="0.25">
      <c r="B41" s="17" t="s">
        <v>39</v>
      </c>
      <c r="C41" s="182" t="s">
        <v>2</v>
      </c>
      <c r="D41" s="182"/>
      <c r="E41" s="182" t="s">
        <v>34</v>
      </c>
      <c r="F41" s="182" t="s">
        <v>35</v>
      </c>
      <c r="G41" s="182"/>
      <c r="H41" s="182"/>
      <c r="I41" s="182"/>
      <c r="J41" s="182"/>
      <c r="K41" s="182"/>
      <c r="L41" s="182" t="s">
        <v>36</v>
      </c>
      <c r="M41" s="182" t="s">
        <v>37</v>
      </c>
      <c r="N41" s="47"/>
      <c r="O41" s="47"/>
      <c r="P41" s="47"/>
      <c r="Q41" s="54" t="s">
        <v>88</v>
      </c>
      <c r="R41" s="52"/>
      <c r="S41" s="53"/>
      <c r="T41" s="51"/>
    </row>
    <row r="42" spans="2:20" x14ac:dyDescent="0.25">
      <c r="B42" s="65"/>
      <c r="C42" s="153"/>
      <c r="D42" s="153"/>
      <c r="E42" s="153"/>
      <c r="F42" s="153"/>
      <c r="G42" s="153"/>
      <c r="H42" s="153"/>
      <c r="I42" s="153"/>
      <c r="J42" s="153"/>
      <c r="K42" s="153"/>
      <c r="L42" s="153"/>
      <c r="M42" s="153"/>
      <c r="N42" s="45"/>
      <c r="O42" s="45"/>
      <c r="P42" s="45"/>
      <c r="T42" s="51"/>
    </row>
    <row r="43" spans="2:20" x14ac:dyDescent="0.25">
      <c r="B43" s="65"/>
      <c r="C43" s="153"/>
      <c r="D43" s="153"/>
      <c r="E43" s="153"/>
      <c r="F43" s="153"/>
      <c r="G43" s="153"/>
      <c r="H43" s="153"/>
      <c r="I43" s="153"/>
      <c r="J43" s="153"/>
      <c r="K43" s="153"/>
      <c r="L43" s="153"/>
      <c r="M43" s="153"/>
      <c r="N43" s="45"/>
      <c r="O43" s="45"/>
      <c r="P43" s="45"/>
      <c r="Q43" s="59"/>
      <c r="R43" s="50"/>
      <c r="S43" s="50"/>
      <c r="T43" s="51"/>
    </row>
    <row r="44" spans="2:20" x14ac:dyDescent="0.25">
      <c r="B44" s="11"/>
      <c r="C44" s="153"/>
      <c r="D44" s="153"/>
      <c r="E44" s="153"/>
      <c r="R44" s="51"/>
      <c r="S44" s="51"/>
      <c r="T44" s="51"/>
    </row>
    <row r="45" spans="2:20" x14ac:dyDescent="0.25">
      <c r="B45" s="12"/>
      <c r="C45" s="13"/>
      <c r="D45" s="13"/>
      <c r="E45" s="41"/>
      <c r="F45" s="15"/>
      <c r="G45" s="15"/>
      <c r="H45" s="15"/>
      <c r="I45" s="15"/>
      <c r="J45" s="15"/>
      <c r="K45" s="15"/>
      <c r="L45" s="16"/>
      <c r="M45" s="20"/>
      <c r="N45" s="18"/>
      <c r="O45" s="18"/>
      <c r="P45" s="18"/>
    </row>
    <row r="46" spans="2:20" x14ac:dyDescent="0.25">
      <c r="B46" s="12"/>
      <c r="C46" s="13"/>
      <c r="D46" s="13"/>
      <c r="E46" s="41"/>
      <c r="F46" s="15"/>
      <c r="G46" s="15"/>
      <c r="H46" s="15"/>
      <c r="I46" s="15"/>
      <c r="J46" s="15"/>
      <c r="K46" s="15"/>
      <c r="L46" s="16"/>
      <c r="M46" s="20"/>
      <c r="N46" s="18"/>
      <c r="O46" s="18"/>
      <c r="P46" s="18"/>
    </row>
    <row r="47" spans="2:20" x14ac:dyDescent="0.25">
      <c r="B47" s="12"/>
      <c r="C47" s="13"/>
      <c r="D47" s="13"/>
      <c r="E47" s="41"/>
      <c r="F47" s="15"/>
      <c r="G47" s="15"/>
      <c r="H47" s="15"/>
      <c r="I47" s="15"/>
      <c r="J47" s="15"/>
      <c r="K47" s="15"/>
      <c r="L47" s="16"/>
      <c r="M47" s="20"/>
      <c r="N47" s="18"/>
      <c r="O47" s="18"/>
      <c r="P47" s="18"/>
    </row>
    <row r="48" spans="2:20" x14ac:dyDescent="0.25">
      <c r="B48" s="12"/>
      <c r="C48" s="13"/>
      <c r="D48" s="13"/>
      <c r="E48" s="41"/>
      <c r="F48" s="15"/>
      <c r="G48" s="15"/>
      <c r="H48" s="15"/>
      <c r="I48" s="15"/>
      <c r="J48" s="15"/>
      <c r="K48" s="15"/>
      <c r="L48" s="16"/>
      <c r="M48" s="20"/>
      <c r="N48" s="18"/>
      <c r="O48" s="18"/>
      <c r="P48" s="18"/>
    </row>
    <row r="50" spans="17:19" x14ac:dyDescent="0.25">
      <c r="Q50" s="325" t="s">
        <v>343</v>
      </c>
      <c r="R50" s="325"/>
      <c r="S50" s="329">
        <f>S16</f>
        <v>99457.9</v>
      </c>
    </row>
  </sheetData>
  <mergeCells count="7">
    <mergeCell ref="B37:H37"/>
    <mergeCell ref="B25:F25"/>
    <mergeCell ref="Q1:S1"/>
    <mergeCell ref="Q2:S2"/>
    <mergeCell ref="B24:F24"/>
    <mergeCell ref="B20:F20"/>
    <mergeCell ref="B22:F22"/>
  </mergeCells>
  <hyperlinks>
    <hyperlink ref="B25" r:id="rId1"/>
  </hyperlinks>
  <printOptions horizontalCentered="1" gridLines="1"/>
  <pageMargins left="0" right="0" top="0.75" bottom="0.75" header="0.3" footer="0.3"/>
  <pageSetup scale="49" orientation="landscape" horizontalDpi="1200" verticalDpi="1200"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4"/>
  <sheetViews>
    <sheetView topLeftCell="C1" zoomScale="90" zoomScaleNormal="90" workbookViewId="0">
      <selection activeCell="N13" sqref="N13"/>
    </sheetView>
  </sheetViews>
  <sheetFormatPr defaultColWidth="9.140625" defaultRowHeight="15" x14ac:dyDescent="0.25"/>
  <cols>
    <col min="1" max="1" width="5.28515625" style="2" hidden="1" customWidth="1"/>
    <col min="2" max="2" width="57.5703125" style="2" customWidth="1"/>
    <col min="3" max="3" width="29.42578125" style="2" customWidth="1"/>
    <col min="4" max="4" width="13.7109375" style="2" customWidth="1"/>
    <col min="5" max="5" width="17" style="2" bestFit="1" customWidth="1"/>
    <col min="6" max="6" width="21.7109375" style="2" customWidth="1"/>
    <col min="7" max="7" width="10.28515625" style="2" customWidth="1"/>
    <col min="8" max="8" width="12.85546875" style="2" customWidth="1"/>
    <col min="9" max="9" width="13.42578125" style="2" customWidth="1"/>
    <col min="10" max="10" width="15.7109375" style="2" customWidth="1"/>
    <col min="11" max="11" width="8.85546875" style="2" customWidth="1"/>
    <col min="12" max="12" width="18.7109375" style="2" bestFit="1" customWidth="1"/>
    <col min="13" max="13" width="13.28515625" style="2" bestFit="1" customWidth="1"/>
    <col min="14" max="14" width="13.7109375" style="2" customWidth="1"/>
    <col min="15" max="15" width="14.42578125" style="2" customWidth="1"/>
    <col min="16" max="16" width="3.140625" style="2" customWidth="1"/>
    <col min="17" max="17" width="12" style="2" customWidth="1"/>
    <col min="18" max="18" width="14.140625" style="2" customWidth="1"/>
    <col min="19" max="19" width="16.7109375" style="2" customWidth="1"/>
    <col min="20" max="16384" width="9.140625" style="2"/>
  </cols>
  <sheetData>
    <row r="1" spans="1:20" ht="18" customHeight="1" x14ac:dyDescent="0.25">
      <c r="A1" s="2" t="s">
        <v>342</v>
      </c>
      <c r="B1" s="8" t="s">
        <v>145</v>
      </c>
      <c r="Q1" s="335" t="s">
        <v>230</v>
      </c>
      <c r="R1" s="335"/>
      <c r="S1" s="335"/>
    </row>
    <row r="2" spans="1:20" ht="18" customHeight="1" x14ac:dyDescent="0.25">
      <c r="B2" s="90" t="s">
        <v>148</v>
      </c>
      <c r="C2" s="187">
        <v>44377</v>
      </c>
      <c r="M2" s="73"/>
      <c r="N2" s="73"/>
      <c r="P2" s="29"/>
      <c r="Q2" s="334" t="s">
        <v>338</v>
      </c>
      <c r="R2" s="334"/>
      <c r="S2" s="334"/>
    </row>
    <row r="3" spans="1:20" ht="18" customHeight="1" thickBot="1" x14ac:dyDescent="0.3">
      <c r="A3" s="2" t="s">
        <v>16</v>
      </c>
      <c r="B3" s="44" t="s">
        <v>144</v>
      </c>
      <c r="C3" s="8"/>
      <c r="D3" s="8"/>
      <c r="E3" s="8"/>
      <c r="P3" s="29"/>
      <c r="Q3" s="45"/>
      <c r="R3" s="30"/>
    </row>
    <row r="4" spans="1:20" ht="18.75" customHeight="1" x14ac:dyDescent="0.25">
      <c r="B4" s="8" t="s">
        <v>174</v>
      </c>
      <c r="M4" s="87" t="s">
        <v>28</v>
      </c>
      <c r="N4" s="87" t="s">
        <v>28</v>
      </c>
      <c r="O4" s="87" t="s">
        <v>28</v>
      </c>
      <c r="P4" s="153"/>
      <c r="Q4" s="91" t="s">
        <v>29</v>
      </c>
      <c r="R4" s="91" t="s">
        <v>31</v>
      </c>
      <c r="S4" s="91" t="s">
        <v>23</v>
      </c>
      <c r="T4" s="7"/>
    </row>
    <row r="5" spans="1:20" ht="15.75" thickBot="1" x14ac:dyDescent="0.3">
      <c r="G5" s="188" t="s">
        <v>231</v>
      </c>
      <c r="H5" s="188" t="s">
        <v>231</v>
      </c>
      <c r="M5" s="88" t="s">
        <v>27</v>
      </c>
      <c r="N5" s="88" t="s">
        <v>26</v>
      </c>
      <c r="O5" s="88" t="s">
        <v>25</v>
      </c>
      <c r="P5" s="153"/>
      <c r="Q5" s="92" t="s">
        <v>30</v>
      </c>
      <c r="R5" s="92" t="s">
        <v>30</v>
      </c>
      <c r="S5" s="92" t="s">
        <v>30</v>
      </c>
      <c r="T5" s="7"/>
    </row>
    <row r="6" spans="1:20" ht="85.5" customHeight="1" thickBot="1" x14ac:dyDescent="0.3">
      <c r="B6" s="86" t="s">
        <v>1</v>
      </c>
      <c r="C6" s="86" t="s">
        <v>127</v>
      </c>
      <c r="D6" s="86" t="s">
        <v>107</v>
      </c>
      <c r="E6" s="86" t="s">
        <v>3</v>
      </c>
      <c r="F6" s="86" t="s">
        <v>4</v>
      </c>
      <c r="G6" s="110" t="s">
        <v>136</v>
      </c>
      <c r="H6" s="110" t="s">
        <v>137</v>
      </c>
      <c r="I6" s="110" t="s">
        <v>133</v>
      </c>
      <c r="J6" s="110" t="s">
        <v>134</v>
      </c>
      <c r="K6" s="110" t="s">
        <v>121</v>
      </c>
      <c r="L6" s="85" t="s">
        <v>5</v>
      </c>
      <c r="M6" s="89" t="s">
        <v>6</v>
      </c>
      <c r="N6" s="89" t="s">
        <v>6</v>
      </c>
      <c r="O6" s="89" t="s">
        <v>6</v>
      </c>
      <c r="P6" s="153"/>
      <c r="Q6" s="93"/>
      <c r="R6" s="99" t="s">
        <v>32</v>
      </c>
      <c r="S6" s="100" t="s">
        <v>33</v>
      </c>
    </row>
    <row r="7" spans="1:20" ht="23.25" customHeight="1" x14ac:dyDescent="0.25">
      <c r="B7" s="2" t="s">
        <v>8</v>
      </c>
      <c r="C7" s="94" t="s">
        <v>106</v>
      </c>
      <c r="D7" s="94" t="s">
        <v>246</v>
      </c>
      <c r="E7" s="2" t="s">
        <v>232</v>
      </c>
      <c r="F7" s="2" t="s">
        <v>7</v>
      </c>
      <c r="G7" s="191">
        <v>2.9600000000000001E-2</v>
      </c>
      <c r="H7" s="191">
        <v>0.1744</v>
      </c>
      <c r="I7" s="192">
        <v>44377</v>
      </c>
      <c r="J7" s="192">
        <v>44378</v>
      </c>
      <c r="K7" s="192">
        <v>44013</v>
      </c>
      <c r="L7" s="193" t="s">
        <v>234</v>
      </c>
      <c r="M7" s="80">
        <v>144102.88</v>
      </c>
      <c r="N7" s="212">
        <f>144226.88-M7</f>
        <v>124</v>
      </c>
      <c r="O7" s="69">
        <f t="shared" ref="O7:O13" si="0">M7+N7</f>
        <v>144226.88</v>
      </c>
      <c r="P7" s="69"/>
      <c r="Q7" s="69">
        <f>51633.62+6690.26+1775.74+77187.69-1775.74</f>
        <v>135511.57</v>
      </c>
      <c r="R7" s="69"/>
      <c r="S7" s="70">
        <f t="shared" ref="S7:S13" si="1">Q7+R7</f>
        <v>135511.57</v>
      </c>
    </row>
    <row r="8" spans="1:20" ht="20.45" hidden="1" customHeight="1" x14ac:dyDescent="0.25">
      <c r="B8" s="2" t="s">
        <v>138</v>
      </c>
      <c r="C8" s="113" t="s">
        <v>187</v>
      </c>
      <c r="D8" s="94" t="s">
        <v>173</v>
      </c>
      <c r="E8" s="2" t="s">
        <v>233</v>
      </c>
      <c r="F8" s="2" t="s">
        <v>7</v>
      </c>
      <c r="G8" s="191">
        <f>G7</f>
        <v>2.9600000000000001E-2</v>
      </c>
      <c r="H8" s="191">
        <f>H7</f>
        <v>0.1744</v>
      </c>
      <c r="I8" s="192">
        <f>I7</f>
        <v>44377</v>
      </c>
      <c r="J8" s="192">
        <f>J7</f>
        <v>44378</v>
      </c>
      <c r="K8" s="192">
        <v>43282</v>
      </c>
      <c r="L8" s="193" t="str">
        <f>L7</f>
        <v>07/01/20 - 06/30/21</v>
      </c>
      <c r="M8" s="80"/>
      <c r="N8" s="69"/>
      <c r="O8" s="69">
        <f t="shared" si="0"/>
        <v>0</v>
      </c>
      <c r="P8" s="69"/>
      <c r="Q8" s="69"/>
      <c r="R8" s="69"/>
      <c r="S8" s="70">
        <f t="shared" si="1"/>
        <v>0</v>
      </c>
    </row>
    <row r="9" spans="1:20" ht="32.25" customHeight="1" x14ac:dyDescent="0.25">
      <c r="B9" s="205" t="s">
        <v>128</v>
      </c>
      <c r="C9" s="231" t="s">
        <v>122</v>
      </c>
      <c r="D9" s="95" t="s">
        <v>248</v>
      </c>
      <c r="E9" s="2" t="s">
        <v>233</v>
      </c>
      <c r="F9" s="2" t="s">
        <v>7</v>
      </c>
      <c r="G9" s="191">
        <f t="shared" ref="G9:L9" si="2">+G7</f>
        <v>2.9600000000000001E-2</v>
      </c>
      <c r="H9" s="191">
        <f t="shared" si="2"/>
        <v>0.1744</v>
      </c>
      <c r="I9" s="192">
        <f t="shared" si="2"/>
        <v>44377</v>
      </c>
      <c r="J9" s="192">
        <f t="shared" si="2"/>
        <v>44378</v>
      </c>
      <c r="K9" s="192">
        <f t="shared" si="2"/>
        <v>44013</v>
      </c>
      <c r="L9" s="193" t="str">
        <f t="shared" si="2"/>
        <v>07/01/20 - 06/30/21</v>
      </c>
      <c r="M9" s="80">
        <v>11211.2</v>
      </c>
      <c r="N9" s="69">
        <v>0</v>
      </c>
      <c r="O9" s="69">
        <f t="shared" si="0"/>
        <v>11211.2</v>
      </c>
      <c r="P9" s="69"/>
      <c r="Q9" s="69">
        <v>11211.2</v>
      </c>
      <c r="R9" s="69"/>
      <c r="S9" s="70">
        <f t="shared" si="1"/>
        <v>11211.2</v>
      </c>
    </row>
    <row r="10" spans="1:20" ht="32.25" customHeight="1" x14ac:dyDescent="0.25">
      <c r="B10" s="2" t="s">
        <v>241</v>
      </c>
      <c r="C10" s="243" t="s">
        <v>242</v>
      </c>
      <c r="D10" s="95" t="s">
        <v>243</v>
      </c>
      <c r="E10" s="2" t="s">
        <v>244</v>
      </c>
      <c r="F10" s="2" t="s">
        <v>7</v>
      </c>
      <c r="G10" s="191">
        <v>2.9600000000000001E-2</v>
      </c>
      <c r="H10" s="191">
        <v>0.1744</v>
      </c>
      <c r="I10" s="192">
        <v>44834</v>
      </c>
      <c r="J10" s="192">
        <v>44849</v>
      </c>
      <c r="K10" s="192">
        <v>43614</v>
      </c>
      <c r="L10" s="193" t="s">
        <v>311</v>
      </c>
      <c r="M10" s="80">
        <v>50861.26</v>
      </c>
      <c r="N10" s="69"/>
      <c r="O10" s="69">
        <f t="shared" si="0"/>
        <v>50861.26</v>
      </c>
      <c r="P10" s="69"/>
      <c r="Q10" s="69"/>
      <c r="R10" s="69"/>
      <c r="S10" s="70">
        <f t="shared" si="1"/>
        <v>0</v>
      </c>
    </row>
    <row r="11" spans="1:20" ht="32.25" customHeight="1" x14ac:dyDescent="0.25">
      <c r="B11" s="2" t="s">
        <v>283</v>
      </c>
      <c r="C11" s="243" t="s">
        <v>264</v>
      </c>
      <c r="D11" s="95" t="s">
        <v>254</v>
      </c>
      <c r="E11" s="2" t="s">
        <v>284</v>
      </c>
      <c r="F11" s="2" t="s">
        <v>7</v>
      </c>
      <c r="G11" s="191">
        <f t="shared" ref="G11:H11" si="3">+G10</f>
        <v>2.9600000000000001E-2</v>
      </c>
      <c r="H11" s="191">
        <f t="shared" si="3"/>
        <v>0.1744</v>
      </c>
      <c r="I11" s="192">
        <v>44377</v>
      </c>
      <c r="J11" s="192">
        <v>44392</v>
      </c>
      <c r="K11" s="192">
        <v>43613</v>
      </c>
      <c r="L11" s="193" t="s">
        <v>234</v>
      </c>
      <c r="M11" s="81">
        <v>7302.48</v>
      </c>
      <c r="N11" s="69"/>
      <c r="O11" s="69">
        <f t="shared" si="0"/>
        <v>7302.48</v>
      </c>
      <c r="P11" s="69"/>
      <c r="Q11" s="69"/>
      <c r="R11" s="69"/>
      <c r="S11" s="70">
        <f t="shared" si="1"/>
        <v>0</v>
      </c>
    </row>
    <row r="12" spans="1:20" ht="32.25" customHeight="1" x14ac:dyDescent="0.25">
      <c r="B12" s="2" t="s">
        <v>268</v>
      </c>
      <c r="C12" s="243" t="s">
        <v>269</v>
      </c>
      <c r="D12" s="95" t="s">
        <v>164</v>
      </c>
      <c r="E12" s="2" t="s">
        <v>279</v>
      </c>
      <c r="F12" s="2" t="s">
        <v>7</v>
      </c>
      <c r="G12" s="191">
        <f t="shared" ref="G12:H14" si="4">+G10</f>
        <v>2.9600000000000001E-2</v>
      </c>
      <c r="H12" s="191">
        <f t="shared" si="4"/>
        <v>0.1744</v>
      </c>
      <c r="I12" s="192">
        <v>44393</v>
      </c>
      <c r="J12" s="192">
        <v>44408</v>
      </c>
      <c r="K12" s="192">
        <v>42644</v>
      </c>
      <c r="L12" s="193" t="s">
        <v>310</v>
      </c>
      <c r="M12" s="81">
        <v>138982</v>
      </c>
      <c r="N12" s="69"/>
      <c r="O12" s="69">
        <f t="shared" si="0"/>
        <v>138982</v>
      </c>
      <c r="P12" s="69"/>
      <c r="Q12" s="69"/>
      <c r="R12" s="69"/>
      <c r="S12" s="70">
        <f t="shared" si="1"/>
        <v>0</v>
      </c>
    </row>
    <row r="13" spans="1:20" ht="32.25" customHeight="1" x14ac:dyDescent="0.25">
      <c r="B13" s="2" t="s">
        <v>305</v>
      </c>
      <c r="C13" s="243" t="s">
        <v>306</v>
      </c>
      <c r="D13" s="95" t="s">
        <v>307</v>
      </c>
      <c r="E13" s="2" t="s">
        <v>308</v>
      </c>
      <c r="F13" s="2" t="s">
        <v>7</v>
      </c>
      <c r="G13" s="191">
        <f t="shared" si="4"/>
        <v>2.9600000000000001E-2</v>
      </c>
      <c r="H13" s="191">
        <f t="shared" si="4"/>
        <v>0.1744</v>
      </c>
      <c r="I13" s="192">
        <v>44408</v>
      </c>
      <c r="J13" s="192">
        <v>44423</v>
      </c>
      <c r="K13" s="192">
        <v>42186</v>
      </c>
      <c r="L13" s="193" t="s">
        <v>309</v>
      </c>
      <c r="M13" s="81">
        <v>13063.33</v>
      </c>
      <c r="N13" s="69"/>
      <c r="O13" s="69">
        <f t="shared" si="0"/>
        <v>13063.33</v>
      </c>
      <c r="P13" s="69"/>
      <c r="Q13" s="69">
        <v>13048.09</v>
      </c>
      <c r="R13" s="69"/>
      <c r="S13" s="70">
        <f t="shared" si="1"/>
        <v>13048.09</v>
      </c>
    </row>
    <row r="14" spans="1:20" ht="32.25" customHeight="1" x14ac:dyDescent="0.25">
      <c r="B14" s="2" t="s">
        <v>314</v>
      </c>
      <c r="C14" s="243" t="s">
        <v>242</v>
      </c>
      <c r="D14" s="95" t="s">
        <v>243</v>
      </c>
      <c r="E14" s="2" t="s">
        <v>315</v>
      </c>
      <c r="F14" s="2" t="s">
        <v>7</v>
      </c>
      <c r="G14" s="313">
        <f t="shared" si="4"/>
        <v>2.9600000000000001E-2</v>
      </c>
      <c r="H14" s="313">
        <f t="shared" si="4"/>
        <v>0.1744</v>
      </c>
      <c r="I14" s="312">
        <v>44773</v>
      </c>
      <c r="J14" s="312">
        <v>44788</v>
      </c>
      <c r="K14" s="192">
        <v>43980</v>
      </c>
      <c r="L14" s="193" t="s">
        <v>316</v>
      </c>
      <c r="M14" s="81">
        <v>3630.56</v>
      </c>
      <c r="N14" s="72"/>
      <c r="O14" s="69">
        <f>M14+N14</f>
        <v>3630.56</v>
      </c>
      <c r="P14" s="69"/>
      <c r="Q14" s="69"/>
      <c r="R14" s="69"/>
      <c r="S14" s="70">
        <f>Q14+R14</f>
        <v>0</v>
      </c>
    </row>
    <row r="15" spans="1:20" ht="32.25" customHeight="1" x14ac:dyDescent="0.25">
      <c r="B15" s="2" t="s">
        <v>318</v>
      </c>
      <c r="C15" s="243" t="s">
        <v>242</v>
      </c>
      <c r="D15" s="95" t="s">
        <v>243</v>
      </c>
      <c r="E15" s="2" t="s">
        <v>319</v>
      </c>
      <c r="F15" s="2" t="s">
        <v>7</v>
      </c>
      <c r="G15" s="191">
        <v>2.9600000000000001E-2</v>
      </c>
      <c r="H15" s="191">
        <v>0.1744</v>
      </c>
      <c r="I15" s="192">
        <v>44561</v>
      </c>
      <c r="J15" s="192">
        <v>44576</v>
      </c>
      <c r="K15" s="192">
        <v>43980</v>
      </c>
      <c r="L15" s="193" t="s">
        <v>320</v>
      </c>
      <c r="M15" s="81">
        <v>3000</v>
      </c>
      <c r="N15" s="69"/>
      <c r="O15" s="69">
        <f t="shared" ref="O15:O17" si="5">M15+N15</f>
        <v>3000</v>
      </c>
      <c r="P15" s="68"/>
      <c r="Q15" s="69"/>
      <c r="R15" s="69"/>
      <c r="S15" s="70">
        <f t="shared" ref="S15:S17" si="6">Q15+R15</f>
        <v>0</v>
      </c>
    </row>
    <row r="16" spans="1:20" ht="32.25" customHeight="1" x14ac:dyDescent="0.25">
      <c r="B16" s="2" t="s">
        <v>321</v>
      </c>
      <c r="C16" s="243" t="s">
        <v>264</v>
      </c>
      <c r="D16" s="95" t="s">
        <v>254</v>
      </c>
      <c r="E16" s="2" t="s">
        <v>322</v>
      </c>
      <c r="F16" s="2" t="s">
        <v>7</v>
      </c>
      <c r="G16" s="191">
        <v>2.9600000000000001E-2</v>
      </c>
      <c r="H16" s="191">
        <v>0.1744</v>
      </c>
      <c r="I16" s="192">
        <v>44742</v>
      </c>
      <c r="J16" s="192">
        <v>44757</v>
      </c>
      <c r="K16" s="192">
        <v>43979</v>
      </c>
      <c r="L16" s="193" t="s">
        <v>323</v>
      </c>
      <c r="M16" s="81">
        <v>1027</v>
      </c>
      <c r="N16" s="69"/>
      <c r="O16" s="69">
        <f t="shared" si="5"/>
        <v>1027</v>
      </c>
      <c r="P16" s="68"/>
      <c r="Q16" s="69"/>
      <c r="R16" s="69"/>
      <c r="S16" s="70">
        <f t="shared" si="6"/>
        <v>0</v>
      </c>
    </row>
    <row r="17" spans="2:19" ht="32.25" customHeight="1" x14ac:dyDescent="0.25">
      <c r="B17" s="2" t="s">
        <v>327</v>
      </c>
      <c r="C17" s="243" t="s">
        <v>242</v>
      </c>
      <c r="D17" s="95" t="s">
        <v>328</v>
      </c>
      <c r="E17" s="2" t="s">
        <v>329</v>
      </c>
      <c r="F17" s="2" t="s">
        <v>7</v>
      </c>
      <c r="G17" s="191">
        <v>2.9600000000000001E-2</v>
      </c>
      <c r="H17" s="191">
        <v>0.1744</v>
      </c>
      <c r="I17" s="192">
        <v>44440</v>
      </c>
      <c r="J17" s="192">
        <v>44440</v>
      </c>
      <c r="K17" s="192">
        <v>44201</v>
      </c>
      <c r="L17" s="193" t="s">
        <v>330</v>
      </c>
      <c r="M17" s="81">
        <v>137837.31</v>
      </c>
      <c r="N17" s="69"/>
      <c r="O17" s="69">
        <f t="shared" si="5"/>
        <v>137837.31</v>
      </c>
      <c r="P17" s="68"/>
      <c r="Q17" s="69"/>
      <c r="R17" s="69"/>
      <c r="S17" s="70">
        <f t="shared" si="6"/>
        <v>0</v>
      </c>
    </row>
    <row r="18" spans="2:19" x14ac:dyDescent="0.25">
      <c r="C18" s="243"/>
      <c r="G18" s="126"/>
      <c r="H18" s="126"/>
      <c r="I18" s="119"/>
      <c r="J18" s="119"/>
      <c r="K18" s="119" t="s">
        <v>100</v>
      </c>
      <c r="L18" s="95"/>
      <c r="M18" s="24"/>
      <c r="N18" s="25"/>
      <c r="O18" s="25"/>
      <c r="P18" s="69"/>
      <c r="Q18" s="25"/>
      <c r="R18" s="25"/>
      <c r="S18" s="26"/>
    </row>
    <row r="19" spans="2:19" ht="23.25" customHeight="1" x14ac:dyDescent="0.25">
      <c r="C19" s="95"/>
      <c r="D19" s="95"/>
      <c r="G19" s="126"/>
      <c r="H19" s="126"/>
      <c r="I19" s="119"/>
      <c r="J19" s="119"/>
      <c r="K19" s="119" t="s">
        <v>100</v>
      </c>
      <c r="L19" s="21" t="s">
        <v>38</v>
      </c>
      <c r="M19" s="68">
        <f>SUM(M7:M18)</f>
        <v>511018.02000000008</v>
      </c>
      <c r="N19" s="78">
        <f>SUM(N7:N18)</f>
        <v>124</v>
      </c>
      <c r="O19" s="68">
        <f>SUM(O7:O18)</f>
        <v>511142.02000000008</v>
      </c>
      <c r="P19" s="68" t="s">
        <v>100</v>
      </c>
      <c r="Q19" s="68">
        <f>SUM(Q7:Q18)</f>
        <v>159770.86000000002</v>
      </c>
      <c r="R19" s="68">
        <f>SUM(R7:R18)</f>
        <v>0</v>
      </c>
      <c r="S19" s="23">
        <f>SUM(S7:S18)</f>
        <v>159770.86000000002</v>
      </c>
    </row>
    <row r="20" spans="2:19" x14ac:dyDescent="0.25">
      <c r="C20" s="95"/>
      <c r="D20" s="95"/>
      <c r="G20" s="126"/>
      <c r="H20" s="126"/>
      <c r="I20" s="119"/>
      <c r="J20" s="119"/>
      <c r="K20" s="119"/>
      <c r="L20" s="21"/>
      <c r="M20" s="68"/>
      <c r="N20" s="68"/>
      <c r="O20" s="68"/>
      <c r="P20" s="68"/>
      <c r="Q20" s="68"/>
      <c r="R20" s="68"/>
      <c r="S20" s="70"/>
    </row>
    <row r="21" spans="2:19" x14ac:dyDescent="0.25">
      <c r="C21" s="95"/>
      <c r="D21" s="95"/>
      <c r="G21" s="126"/>
      <c r="H21" s="126"/>
      <c r="I21" s="119"/>
      <c r="J21" s="119"/>
      <c r="K21" s="119"/>
      <c r="L21" s="21"/>
      <c r="M21" s="68"/>
      <c r="N21" s="68"/>
      <c r="O21" s="68"/>
      <c r="P21" s="68"/>
      <c r="Q21" s="68"/>
      <c r="R21" s="68"/>
      <c r="S21" s="70"/>
    </row>
    <row r="22" spans="2:19" x14ac:dyDescent="0.25">
      <c r="B22" s="8" t="s">
        <v>125</v>
      </c>
      <c r="C22" s="94"/>
      <c r="D22" s="94"/>
      <c r="S22" s="27"/>
    </row>
    <row r="23" spans="2:19" ht="30.75" customHeight="1" x14ac:dyDescent="0.25">
      <c r="B23" s="338" t="s">
        <v>126</v>
      </c>
      <c r="C23" s="338"/>
      <c r="D23" s="338"/>
      <c r="E23" s="338"/>
      <c r="F23" s="338"/>
      <c r="S23" s="27"/>
    </row>
    <row r="24" spans="2:19" x14ac:dyDescent="0.25">
      <c r="C24" s="94"/>
      <c r="D24" s="94"/>
      <c r="S24" s="27"/>
    </row>
    <row r="25" spans="2:19" ht="47.25" customHeight="1" x14ac:dyDescent="0.25">
      <c r="B25" s="338" t="s">
        <v>129</v>
      </c>
      <c r="C25" s="338"/>
      <c r="D25" s="338"/>
      <c r="E25" s="338"/>
      <c r="F25" s="338"/>
      <c r="S25" s="27"/>
    </row>
    <row r="26" spans="2:19" x14ac:dyDescent="0.25">
      <c r="B26" s="198"/>
      <c r="C26" s="198"/>
      <c r="D26" s="198"/>
      <c r="E26" s="198"/>
      <c r="F26" s="198"/>
      <c r="S26" s="27"/>
    </row>
    <row r="27" spans="2:19" ht="30.75" customHeight="1" x14ac:dyDescent="0.25">
      <c r="B27" s="338" t="s">
        <v>160</v>
      </c>
      <c r="C27" s="338"/>
      <c r="D27" s="338"/>
      <c r="E27" s="338"/>
      <c r="F27" s="338"/>
      <c r="S27" s="27"/>
    </row>
    <row r="28" spans="2:19" ht="15" customHeight="1" x14ac:dyDescent="0.25">
      <c r="B28" s="346" t="s">
        <v>159</v>
      </c>
      <c r="C28" s="338"/>
      <c r="D28" s="338"/>
      <c r="E28" s="338"/>
      <c r="F28" s="338"/>
      <c r="S28" s="27"/>
    </row>
    <row r="29" spans="2:19" ht="15" customHeight="1" x14ac:dyDescent="0.25">
      <c r="B29" s="200"/>
      <c r="C29" s="200"/>
      <c r="D29" s="200"/>
      <c r="E29" s="200"/>
      <c r="S29" s="27"/>
    </row>
    <row r="30" spans="2:19" x14ac:dyDescent="0.25">
      <c r="B30" s="183"/>
      <c r="C30" s="183"/>
      <c r="D30" s="183"/>
      <c r="E30" s="183"/>
      <c r="S30" s="27"/>
    </row>
    <row r="31" spans="2:19" x14ac:dyDescent="0.25">
      <c r="B31" s="7" t="s">
        <v>109</v>
      </c>
      <c r="C31" s="104" t="s">
        <v>112</v>
      </c>
      <c r="D31" s="104" t="s">
        <v>113</v>
      </c>
      <c r="E31" s="183"/>
      <c r="S31" s="27"/>
    </row>
    <row r="32" spans="2:19" x14ac:dyDescent="0.25">
      <c r="B32" s="2" t="s">
        <v>110</v>
      </c>
      <c r="C32" s="94" t="s">
        <v>116</v>
      </c>
      <c r="D32" s="94" t="s">
        <v>118</v>
      </c>
      <c r="E32" s="183"/>
      <c r="S32" s="27"/>
    </row>
    <row r="33" spans="2:20" x14ac:dyDescent="0.25">
      <c r="B33" s="268" t="s">
        <v>111</v>
      </c>
      <c r="C33" s="94" t="s">
        <v>114</v>
      </c>
      <c r="D33" s="94" t="s">
        <v>119</v>
      </c>
      <c r="S33" s="27"/>
    </row>
    <row r="34" spans="2:20" x14ac:dyDescent="0.25">
      <c r="B34" s="2" t="s">
        <v>252</v>
      </c>
      <c r="C34" s="94" t="s">
        <v>135</v>
      </c>
      <c r="D34" s="94" t="s">
        <v>147</v>
      </c>
      <c r="S34" s="27"/>
    </row>
    <row r="35" spans="2:20" x14ac:dyDescent="0.25">
      <c r="B35" s="2" t="s">
        <v>260</v>
      </c>
      <c r="C35" s="94" t="s">
        <v>135</v>
      </c>
      <c r="D35" s="94" t="s">
        <v>147</v>
      </c>
      <c r="S35" s="27"/>
    </row>
    <row r="36" spans="2:20" x14ac:dyDescent="0.25">
      <c r="B36" s="2" t="s">
        <v>267</v>
      </c>
      <c r="C36" s="94" t="s">
        <v>135</v>
      </c>
      <c r="D36" s="94" t="s">
        <v>147</v>
      </c>
      <c r="S36" s="27"/>
    </row>
    <row r="37" spans="2:20" x14ac:dyDescent="0.25">
      <c r="B37" s="2" t="s">
        <v>305</v>
      </c>
      <c r="C37" s="94" t="s">
        <v>135</v>
      </c>
      <c r="D37" s="94" t="s">
        <v>147</v>
      </c>
      <c r="S37" s="27"/>
    </row>
    <row r="38" spans="2:20" x14ac:dyDescent="0.25">
      <c r="B38" s="2" t="s">
        <v>314</v>
      </c>
      <c r="C38" s="94" t="s">
        <v>135</v>
      </c>
      <c r="D38" s="94" t="s">
        <v>147</v>
      </c>
      <c r="S38" s="27"/>
    </row>
    <row r="39" spans="2:20" x14ac:dyDescent="0.25">
      <c r="B39" s="2" t="s">
        <v>318</v>
      </c>
      <c r="C39" s="94" t="s">
        <v>135</v>
      </c>
      <c r="D39" s="94" t="s">
        <v>147</v>
      </c>
      <c r="S39" s="27"/>
    </row>
    <row r="40" spans="2:20" x14ac:dyDescent="0.25">
      <c r="B40" s="2" t="s">
        <v>321</v>
      </c>
      <c r="C40" s="94" t="s">
        <v>135</v>
      </c>
      <c r="D40" s="94" t="s">
        <v>147</v>
      </c>
      <c r="S40" s="27"/>
    </row>
    <row r="41" spans="2:20" x14ac:dyDescent="0.25">
      <c r="B41" s="2" t="s">
        <v>326</v>
      </c>
      <c r="C41" s="94" t="s">
        <v>135</v>
      </c>
      <c r="D41" s="94" t="s">
        <v>147</v>
      </c>
      <c r="S41" s="27"/>
    </row>
    <row r="42" spans="2:20" x14ac:dyDescent="0.25">
      <c r="C42" s="94"/>
      <c r="D42" s="94"/>
      <c r="S42" s="27"/>
    </row>
    <row r="43" spans="2:20" ht="15" customHeight="1" x14ac:dyDescent="0.25">
      <c r="B43" s="347" t="s">
        <v>235</v>
      </c>
      <c r="C43" s="333"/>
      <c r="D43" s="333"/>
      <c r="E43" s="333"/>
      <c r="F43" s="333"/>
      <c r="G43" s="333"/>
      <c r="H43" s="333"/>
      <c r="S43" s="27"/>
    </row>
    <row r="44" spans="2:20" ht="15" customHeight="1" x14ac:dyDescent="0.25">
      <c r="B44" s="266" t="s">
        <v>236</v>
      </c>
      <c r="C44" s="94"/>
      <c r="D44" s="94"/>
      <c r="S44" s="27"/>
    </row>
    <row r="45" spans="2:20" ht="15" customHeight="1" x14ac:dyDescent="0.25">
      <c r="B45" s="227"/>
      <c r="C45" s="96"/>
      <c r="D45" s="96"/>
      <c r="E45" s="10"/>
      <c r="F45" s="10"/>
      <c r="G45" s="10"/>
      <c r="H45" s="10"/>
      <c r="I45" s="10"/>
      <c r="J45" s="10"/>
      <c r="K45" s="10"/>
      <c r="L45" s="10"/>
      <c r="M45" s="10"/>
      <c r="N45" s="10"/>
      <c r="O45" s="10"/>
      <c r="P45" s="10"/>
      <c r="Q45" s="10"/>
      <c r="R45" s="10"/>
      <c r="S45" s="28"/>
    </row>
    <row r="46" spans="2:20" x14ac:dyDescent="0.25">
      <c r="C46" s="95"/>
      <c r="D46" s="95"/>
      <c r="Q46" s="59" t="s">
        <v>90</v>
      </c>
      <c r="R46" s="50"/>
      <c r="S46" s="170"/>
    </row>
    <row r="47" spans="2:20" x14ac:dyDescent="0.25">
      <c r="B47" s="17" t="s">
        <v>39</v>
      </c>
      <c r="C47" s="184" t="s">
        <v>2</v>
      </c>
      <c r="D47" s="184"/>
      <c r="E47" s="184" t="s">
        <v>34</v>
      </c>
      <c r="F47" s="184" t="s">
        <v>35</v>
      </c>
      <c r="G47" s="184"/>
      <c r="H47" s="184"/>
      <c r="I47" s="184"/>
      <c r="J47" s="184"/>
      <c r="K47" s="184"/>
      <c r="L47" s="184" t="s">
        <v>36</v>
      </c>
      <c r="M47" s="184" t="s">
        <v>37</v>
      </c>
      <c r="N47" s="47"/>
      <c r="O47" s="47"/>
      <c r="P47" s="47"/>
      <c r="Q47" s="54" t="s">
        <v>88</v>
      </c>
      <c r="R47" s="52"/>
      <c r="S47" s="53"/>
      <c r="T47" s="51"/>
    </row>
    <row r="48" spans="2:20" x14ac:dyDescent="0.25">
      <c r="B48" s="65"/>
      <c r="C48" s="153"/>
      <c r="D48" s="153"/>
      <c r="E48" s="153"/>
      <c r="F48" s="153"/>
      <c r="G48" s="153"/>
      <c r="H48" s="153"/>
      <c r="I48" s="153"/>
      <c r="J48" s="153"/>
      <c r="K48" s="153"/>
      <c r="L48" s="153"/>
      <c r="M48" s="153"/>
      <c r="N48" s="45"/>
      <c r="O48" s="45"/>
      <c r="P48" s="45"/>
      <c r="T48" s="51"/>
    </row>
    <row r="49" spans="2:20" x14ac:dyDescent="0.25">
      <c r="B49" s="65"/>
      <c r="C49" s="153"/>
      <c r="D49" s="153"/>
      <c r="E49" s="153"/>
      <c r="F49" s="153"/>
      <c r="G49" s="153"/>
      <c r="H49" s="153"/>
      <c r="I49" s="153"/>
      <c r="J49" s="153"/>
      <c r="K49" s="153"/>
      <c r="L49" s="153"/>
      <c r="M49" s="153"/>
      <c r="N49" s="45"/>
      <c r="O49" s="45"/>
      <c r="P49" s="45"/>
      <c r="Q49" s="59"/>
      <c r="R49" s="50"/>
      <c r="S49" s="50"/>
      <c r="T49" s="51"/>
    </row>
    <row r="50" spans="2:20" x14ac:dyDescent="0.25">
      <c r="B50" s="11"/>
      <c r="C50" s="153"/>
      <c r="D50" s="153"/>
      <c r="E50" s="153"/>
      <c r="Q50" s="325" t="s">
        <v>343</v>
      </c>
      <c r="R50" s="325"/>
      <c r="S50" s="329">
        <f>S19</f>
        <v>159770.86000000002</v>
      </c>
      <c r="T50" s="51"/>
    </row>
    <row r="51" spans="2:20" x14ac:dyDescent="0.25">
      <c r="B51" s="12"/>
      <c r="C51" s="13"/>
      <c r="D51" s="13"/>
      <c r="E51" s="41"/>
      <c r="F51" s="15"/>
      <c r="G51" s="15"/>
      <c r="H51" s="15"/>
      <c r="I51" s="15"/>
      <c r="J51" s="15"/>
      <c r="K51" s="15"/>
      <c r="L51" s="16"/>
      <c r="M51" s="20"/>
      <c r="N51" s="18"/>
      <c r="O51" s="18"/>
      <c r="P51" s="18"/>
    </row>
    <row r="52" spans="2:20" x14ac:dyDescent="0.25">
      <c r="B52" s="12"/>
      <c r="C52" s="13"/>
      <c r="D52" s="13"/>
      <c r="E52" s="41"/>
      <c r="F52" s="15"/>
      <c r="G52" s="15"/>
      <c r="H52" s="15"/>
      <c r="I52" s="15"/>
      <c r="J52" s="15"/>
      <c r="K52" s="15"/>
      <c r="L52" s="16"/>
      <c r="M52" s="20"/>
      <c r="N52" s="18"/>
      <c r="O52" s="18"/>
      <c r="P52" s="18"/>
    </row>
    <row r="53" spans="2:20" x14ac:dyDescent="0.25">
      <c r="B53" s="12"/>
      <c r="C53" s="13"/>
      <c r="D53" s="13"/>
      <c r="E53" s="41"/>
      <c r="F53" s="15"/>
      <c r="G53" s="15"/>
      <c r="H53" s="15"/>
      <c r="I53" s="15"/>
      <c r="J53" s="15"/>
      <c r="K53" s="15"/>
      <c r="L53" s="16"/>
      <c r="M53" s="20"/>
      <c r="N53" s="18"/>
      <c r="O53" s="18"/>
      <c r="P53" s="18"/>
    </row>
    <row r="54" spans="2:20" x14ac:dyDescent="0.25">
      <c r="B54" s="12"/>
      <c r="C54" s="13"/>
      <c r="D54" s="13"/>
      <c r="E54" s="41"/>
      <c r="F54" s="15"/>
      <c r="G54" s="15"/>
      <c r="H54" s="15"/>
      <c r="I54" s="15"/>
      <c r="J54" s="15"/>
      <c r="K54" s="15"/>
      <c r="L54" s="16"/>
      <c r="M54" s="20"/>
      <c r="N54" s="18"/>
      <c r="O54" s="18"/>
      <c r="P54" s="18"/>
    </row>
  </sheetData>
  <mergeCells count="7">
    <mergeCell ref="B43:H43"/>
    <mergeCell ref="B28:F28"/>
    <mergeCell ref="Q1:S1"/>
    <mergeCell ref="Q2:S2"/>
    <mergeCell ref="B27:F27"/>
    <mergeCell ref="B23:F23"/>
    <mergeCell ref="B25:F25"/>
  </mergeCells>
  <hyperlinks>
    <hyperlink ref="B28" r:id="rId1"/>
  </hyperlinks>
  <printOptions horizontalCentered="1" gridLines="1"/>
  <pageMargins left="0" right="0" top="0.75" bottom="0.75" header="0.3" footer="0.3"/>
  <pageSetup scale="49" orientation="landscape" horizontalDpi="1200" verticalDpi="1200"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2"/>
  <sheetViews>
    <sheetView topLeftCell="C18" zoomScale="90" zoomScaleNormal="90" workbookViewId="0">
      <selection activeCell="S50" sqref="S50"/>
    </sheetView>
  </sheetViews>
  <sheetFormatPr defaultColWidth="9.140625" defaultRowHeight="15" x14ac:dyDescent="0.25"/>
  <cols>
    <col min="1" max="1" width="5.7109375" style="2" hidden="1" customWidth="1"/>
    <col min="2" max="2" width="57.42578125" style="2" customWidth="1"/>
    <col min="3" max="3" width="26.7109375" style="2" customWidth="1"/>
    <col min="4" max="4" width="13.7109375" style="2" customWidth="1"/>
    <col min="5" max="5" width="17" style="2" bestFit="1" customWidth="1"/>
    <col min="6" max="6" width="21.7109375" style="2" customWidth="1"/>
    <col min="7" max="7" width="10.28515625" style="2" customWidth="1"/>
    <col min="8" max="8" width="12.85546875" style="2" customWidth="1"/>
    <col min="9" max="9" width="13.42578125" style="2" customWidth="1"/>
    <col min="10" max="10" width="15.7109375" style="2" customWidth="1"/>
    <col min="11" max="11" width="8.85546875" style="2" customWidth="1"/>
    <col min="12" max="12" width="18.7109375" style="2" customWidth="1"/>
    <col min="13" max="13" width="13.28515625" style="2" bestFit="1" customWidth="1"/>
    <col min="14" max="14" width="13.7109375" style="2" customWidth="1"/>
    <col min="15" max="15" width="14.42578125" style="2" customWidth="1"/>
    <col min="16" max="16" width="3.140625" style="2" customWidth="1"/>
    <col min="17" max="18" width="14.140625" style="2" customWidth="1"/>
    <col min="19" max="19" width="16.7109375" style="2" customWidth="1"/>
    <col min="20" max="16384" width="9.140625" style="2"/>
  </cols>
  <sheetData>
    <row r="1" spans="1:20" ht="18" customHeight="1" x14ac:dyDescent="0.25">
      <c r="A1" s="2" t="s">
        <v>342</v>
      </c>
      <c r="B1" s="8" t="s">
        <v>143</v>
      </c>
      <c r="Q1" s="335" t="s">
        <v>230</v>
      </c>
      <c r="R1" s="335"/>
      <c r="S1" s="335"/>
    </row>
    <row r="2" spans="1:20" ht="18" customHeight="1" x14ac:dyDescent="0.25">
      <c r="B2" s="90" t="s">
        <v>148</v>
      </c>
      <c r="C2" s="187">
        <v>44377</v>
      </c>
      <c r="M2" s="73"/>
      <c r="N2" s="73"/>
      <c r="P2" s="29"/>
      <c r="Q2" s="334" t="s">
        <v>338</v>
      </c>
      <c r="R2" s="334"/>
      <c r="S2" s="334"/>
    </row>
    <row r="3" spans="1:20" ht="18" customHeight="1" thickBot="1" x14ac:dyDescent="0.3">
      <c r="A3" s="2" t="s">
        <v>16</v>
      </c>
      <c r="B3" s="44" t="s">
        <v>141</v>
      </c>
      <c r="C3" s="8"/>
      <c r="D3" s="8"/>
      <c r="E3" s="8"/>
      <c r="P3" s="29"/>
      <c r="Q3" s="45"/>
      <c r="R3" s="30"/>
    </row>
    <row r="4" spans="1:20" ht="18.75" customHeight="1" x14ac:dyDescent="0.25">
      <c r="B4" s="8" t="s">
        <v>174</v>
      </c>
      <c r="M4" s="87" t="s">
        <v>28</v>
      </c>
      <c r="N4" s="87" t="s">
        <v>28</v>
      </c>
      <c r="O4" s="87" t="s">
        <v>28</v>
      </c>
      <c r="P4" s="153"/>
      <c r="Q4" s="91" t="s">
        <v>29</v>
      </c>
      <c r="R4" s="91" t="s">
        <v>31</v>
      </c>
      <c r="S4" s="91" t="s">
        <v>23</v>
      </c>
      <c r="T4" s="7"/>
    </row>
    <row r="5" spans="1:20" ht="15.75" thickBot="1" x14ac:dyDescent="0.3">
      <c r="G5" s="188" t="s">
        <v>231</v>
      </c>
      <c r="H5" s="188" t="s">
        <v>231</v>
      </c>
      <c r="M5" s="88" t="s">
        <v>27</v>
      </c>
      <c r="N5" s="88" t="s">
        <v>26</v>
      </c>
      <c r="O5" s="88" t="s">
        <v>25</v>
      </c>
      <c r="P5" s="153"/>
      <c r="Q5" s="92" t="s">
        <v>30</v>
      </c>
      <c r="R5" s="92" t="s">
        <v>30</v>
      </c>
      <c r="S5" s="92" t="s">
        <v>30</v>
      </c>
      <c r="T5" s="7"/>
    </row>
    <row r="6" spans="1:20" ht="85.5" customHeight="1" thickBot="1" x14ac:dyDescent="0.3">
      <c r="B6" s="86" t="s">
        <v>1</v>
      </c>
      <c r="C6" s="86" t="s">
        <v>127</v>
      </c>
      <c r="D6" s="86" t="s">
        <v>107</v>
      </c>
      <c r="E6" s="86" t="s">
        <v>3</v>
      </c>
      <c r="F6" s="86" t="s">
        <v>4</v>
      </c>
      <c r="G6" s="110" t="s">
        <v>136</v>
      </c>
      <c r="H6" s="110" t="s">
        <v>137</v>
      </c>
      <c r="I6" s="110" t="s">
        <v>133</v>
      </c>
      <c r="J6" s="110" t="s">
        <v>134</v>
      </c>
      <c r="K6" s="110" t="s">
        <v>121</v>
      </c>
      <c r="L6" s="85" t="s">
        <v>5</v>
      </c>
      <c r="M6" s="89" t="s">
        <v>6</v>
      </c>
      <c r="N6" s="89" t="s">
        <v>6</v>
      </c>
      <c r="O6" s="89" t="s">
        <v>6</v>
      </c>
      <c r="P6" s="153"/>
      <c r="Q6" s="93"/>
      <c r="R6" s="99" t="s">
        <v>32</v>
      </c>
      <c r="S6" s="100" t="s">
        <v>33</v>
      </c>
    </row>
    <row r="7" spans="1:20" ht="31.5" customHeight="1" x14ac:dyDescent="0.25">
      <c r="A7" s="125" t="s">
        <v>149</v>
      </c>
      <c r="B7" s="2" t="s">
        <v>8</v>
      </c>
      <c r="C7" s="94" t="s">
        <v>106</v>
      </c>
      <c r="D7" s="94" t="s">
        <v>246</v>
      </c>
      <c r="E7" s="2" t="s">
        <v>232</v>
      </c>
      <c r="F7" s="2" t="s">
        <v>7</v>
      </c>
      <c r="G7" s="191">
        <v>2.9600000000000001E-2</v>
      </c>
      <c r="H7" s="191">
        <v>0.1744</v>
      </c>
      <c r="I7" s="192">
        <v>44377</v>
      </c>
      <c r="J7" s="192">
        <v>44378</v>
      </c>
      <c r="K7" s="192">
        <v>44013</v>
      </c>
      <c r="L7" s="193" t="s">
        <v>234</v>
      </c>
      <c r="M7" s="80">
        <v>22494.06</v>
      </c>
      <c r="N7" s="69">
        <v>25.5</v>
      </c>
      <c r="O7" s="69">
        <f t="shared" ref="O7:O12" si="0">M7+N7</f>
        <v>22519.56</v>
      </c>
      <c r="P7" s="69"/>
      <c r="Q7" s="69">
        <f>3314.74+10630.55+7608.88</f>
        <v>21554.17</v>
      </c>
      <c r="R7" s="69"/>
      <c r="S7" s="70">
        <f t="shared" ref="S7:S12" si="1">Q7+R7</f>
        <v>21554.17</v>
      </c>
    </row>
    <row r="8" spans="1:20" ht="34.5" customHeight="1" x14ac:dyDescent="0.25">
      <c r="A8" s="125" t="s">
        <v>150</v>
      </c>
      <c r="B8" s="205" t="s">
        <v>128</v>
      </c>
      <c r="C8" s="232" t="s">
        <v>122</v>
      </c>
      <c r="D8" s="95" t="s">
        <v>248</v>
      </c>
      <c r="E8" s="2" t="s">
        <v>233</v>
      </c>
      <c r="F8" s="2" t="s">
        <v>7</v>
      </c>
      <c r="G8" s="191">
        <f>+G7</f>
        <v>2.9600000000000001E-2</v>
      </c>
      <c r="H8" s="191">
        <f t="shared" ref="H8:L8" si="2">+H7</f>
        <v>0.1744</v>
      </c>
      <c r="I8" s="192">
        <f t="shared" si="2"/>
        <v>44377</v>
      </c>
      <c r="J8" s="192">
        <f t="shared" si="2"/>
        <v>44378</v>
      </c>
      <c r="K8" s="192">
        <f t="shared" si="2"/>
        <v>44013</v>
      </c>
      <c r="L8" s="193" t="str">
        <f t="shared" si="2"/>
        <v>07/01/20 - 06/30/21</v>
      </c>
      <c r="M8" s="80">
        <v>70619.03</v>
      </c>
      <c r="N8" s="69">
        <f>164010.55+27511.9</f>
        <v>191522.44999999998</v>
      </c>
      <c r="O8" s="69">
        <f t="shared" si="0"/>
        <v>262141.47999999998</v>
      </c>
      <c r="P8" s="69"/>
      <c r="Q8" s="69">
        <f>70619.03+164010.55+27511.9</f>
        <v>262141.47999999998</v>
      </c>
      <c r="R8" s="69"/>
      <c r="S8" s="70">
        <f t="shared" si="1"/>
        <v>262141.47999999998</v>
      </c>
    </row>
    <row r="9" spans="1:20" ht="32.25" customHeight="1" x14ac:dyDescent="0.25">
      <c r="A9" s="125" t="s">
        <v>151</v>
      </c>
      <c r="B9" s="2" t="s">
        <v>130</v>
      </c>
      <c r="C9" s="97" t="s">
        <v>131</v>
      </c>
      <c r="D9" s="95" t="s">
        <v>249</v>
      </c>
      <c r="E9" s="2" t="s">
        <v>237</v>
      </c>
      <c r="F9" s="2" t="s">
        <v>7</v>
      </c>
      <c r="G9" s="191">
        <f>+G7</f>
        <v>2.9600000000000001E-2</v>
      </c>
      <c r="H9" s="191">
        <f t="shared" ref="H9:L9" si="3">+H7</f>
        <v>0.1744</v>
      </c>
      <c r="I9" s="192">
        <f t="shared" si="3"/>
        <v>44377</v>
      </c>
      <c r="J9" s="192">
        <f t="shared" si="3"/>
        <v>44378</v>
      </c>
      <c r="K9" s="192">
        <f t="shared" si="3"/>
        <v>44013</v>
      </c>
      <c r="L9" s="193" t="str">
        <f t="shared" si="3"/>
        <v>07/01/20 - 06/30/21</v>
      </c>
      <c r="M9" s="80">
        <v>2687.16</v>
      </c>
      <c r="N9" s="69"/>
      <c r="O9" s="69">
        <f t="shared" si="0"/>
        <v>2687.16</v>
      </c>
      <c r="P9" s="69"/>
      <c r="Q9" s="69">
        <v>2687.16</v>
      </c>
      <c r="R9" s="69"/>
      <c r="S9" s="70">
        <f t="shared" si="1"/>
        <v>2687.16</v>
      </c>
    </row>
    <row r="10" spans="1:20" ht="32.25" customHeight="1" x14ac:dyDescent="0.25">
      <c r="A10" s="125"/>
      <c r="B10" s="2" t="s">
        <v>241</v>
      </c>
      <c r="C10" s="243" t="s">
        <v>242</v>
      </c>
      <c r="D10" s="95" t="s">
        <v>243</v>
      </c>
      <c r="E10" s="2" t="s">
        <v>244</v>
      </c>
      <c r="F10" s="2" t="s">
        <v>7</v>
      </c>
      <c r="G10" s="191">
        <v>2.9600000000000001E-2</v>
      </c>
      <c r="H10" s="191">
        <v>0.1744</v>
      </c>
      <c r="I10" s="192">
        <v>44834</v>
      </c>
      <c r="J10" s="192">
        <v>44849</v>
      </c>
      <c r="K10" s="192">
        <v>43614</v>
      </c>
      <c r="L10" s="193" t="s">
        <v>311</v>
      </c>
      <c r="M10" s="80">
        <v>14810.64</v>
      </c>
      <c r="N10" s="69"/>
      <c r="O10" s="69">
        <f t="shared" si="0"/>
        <v>14810.64</v>
      </c>
      <c r="P10" s="69"/>
      <c r="Q10" s="69">
        <v>14810.64</v>
      </c>
      <c r="R10" s="69"/>
      <c r="S10" s="70">
        <f t="shared" si="1"/>
        <v>14810.64</v>
      </c>
    </row>
    <row r="11" spans="1:20" ht="32.25" customHeight="1" x14ac:dyDescent="0.25">
      <c r="A11" s="125"/>
      <c r="B11" s="2" t="s">
        <v>283</v>
      </c>
      <c r="C11" s="243" t="s">
        <v>264</v>
      </c>
      <c r="D11" s="95" t="s">
        <v>254</v>
      </c>
      <c r="E11" s="2" t="s">
        <v>284</v>
      </c>
      <c r="F11" s="2" t="s">
        <v>7</v>
      </c>
      <c r="G11" s="191">
        <f t="shared" ref="G11:H11" si="4">+G10</f>
        <v>2.9600000000000001E-2</v>
      </c>
      <c r="H11" s="191">
        <f t="shared" si="4"/>
        <v>0.1744</v>
      </c>
      <c r="I11" s="192">
        <v>44377</v>
      </c>
      <c r="J11" s="192">
        <v>44392</v>
      </c>
      <c r="K11" s="192">
        <v>43613</v>
      </c>
      <c r="L11" s="193" t="s">
        <v>234</v>
      </c>
      <c r="M11" s="81">
        <v>7302.48</v>
      </c>
      <c r="N11" s="69"/>
      <c r="O11" s="69">
        <f t="shared" si="0"/>
        <v>7302.48</v>
      </c>
      <c r="P11" s="69"/>
      <c r="Q11" s="69"/>
      <c r="R11" s="69"/>
      <c r="S11" s="70">
        <f t="shared" si="1"/>
        <v>0</v>
      </c>
    </row>
    <row r="12" spans="1:20" ht="32.25" customHeight="1" x14ac:dyDescent="0.25">
      <c r="A12" s="125"/>
      <c r="B12" s="2" t="s">
        <v>268</v>
      </c>
      <c r="C12" s="243" t="s">
        <v>269</v>
      </c>
      <c r="D12" s="95" t="s">
        <v>164</v>
      </c>
      <c r="E12" s="2" t="s">
        <v>282</v>
      </c>
      <c r="F12" s="2" t="s">
        <v>7</v>
      </c>
      <c r="G12" s="191">
        <f>+G10</f>
        <v>2.9600000000000001E-2</v>
      </c>
      <c r="H12" s="191">
        <f>+H10</f>
        <v>0.1744</v>
      </c>
      <c r="I12" s="192">
        <v>44393</v>
      </c>
      <c r="J12" s="192">
        <v>44408</v>
      </c>
      <c r="K12" s="192">
        <v>42644</v>
      </c>
      <c r="L12" s="193" t="s">
        <v>310</v>
      </c>
      <c r="M12" s="81">
        <v>44582</v>
      </c>
      <c r="N12" s="69"/>
      <c r="O12" s="69">
        <f t="shared" si="0"/>
        <v>44582</v>
      </c>
      <c r="P12" s="69"/>
      <c r="Q12" s="69">
        <f>38756.75-171.5</f>
        <v>38585.25</v>
      </c>
      <c r="R12" s="69"/>
      <c r="S12" s="70">
        <f t="shared" si="1"/>
        <v>38585.25</v>
      </c>
    </row>
    <row r="13" spans="1:20" ht="32.25" customHeight="1" x14ac:dyDescent="0.25">
      <c r="A13" s="125"/>
      <c r="B13" s="2" t="s">
        <v>314</v>
      </c>
      <c r="C13" s="243" t="s">
        <v>242</v>
      </c>
      <c r="D13" s="95" t="s">
        <v>243</v>
      </c>
      <c r="E13" s="2" t="s">
        <v>315</v>
      </c>
      <c r="F13" s="2" t="s">
        <v>7</v>
      </c>
      <c r="G13" s="313">
        <f>+G11</f>
        <v>2.9600000000000001E-2</v>
      </c>
      <c r="H13" s="313">
        <f>+H11</f>
        <v>0.1744</v>
      </c>
      <c r="I13" s="312">
        <v>44773</v>
      </c>
      <c r="J13" s="312">
        <v>44788</v>
      </c>
      <c r="K13" s="192">
        <v>43980</v>
      </c>
      <c r="L13" s="193" t="s">
        <v>316</v>
      </c>
      <c r="M13" s="81">
        <v>895.57</v>
      </c>
      <c r="N13" s="72"/>
      <c r="O13" s="69">
        <f>M13+N13</f>
        <v>895.57</v>
      </c>
      <c r="P13" s="69"/>
      <c r="Q13" s="69"/>
      <c r="R13" s="69"/>
      <c r="S13" s="70">
        <f>Q13+R13</f>
        <v>0</v>
      </c>
    </row>
    <row r="14" spans="1:20" ht="32.25" customHeight="1" x14ac:dyDescent="0.25">
      <c r="A14" s="125"/>
      <c r="B14" s="2" t="s">
        <v>318</v>
      </c>
      <c r="C14" s="243" t="s">
        <v>242</v>
      </c>
      <c r="D14" s="95" t="s">
        <v>243</v>
      </c>
      <c r="E14" s="2" t="s">
        <v>319</v>
      </c>
      <c r="F14" s="2" t="s">
        <v>7</v>
      </c>
      <c r="G14" s="191">
        <v>2.9600000000000001E-2</v>
      </c>
      <c r="H14" s="191">
        <v>0.1744</v>
      </c>
      <c r="I14" s="192">
        <v>44561</v>
      </c>
      <c r="J14" s="192">
        <v>44576</v>
      </c>
      <c r="K14" s="192">
        <v>43980</v>
      </c>
      <c r="L14" s="193" t="s">
        <v>320</v>
      </c>
      <c r="M14" s="81">
        <v>3000</v>
      </c>
      <c r="N14" s="69"/>
      <c r="O14" s="69">
        <f t="shared" ref="O14:O16" si="5">M14+N14</f>
        <v>3000</v>
      </c>
      <c r="P14" s="68"/>
      <c r="Q14" s="69"/>
      <c r="R14" s="69"/>
      <c r="S14" s="70">
        <f t="shared" ref="S14:S16" si="6">Q14+R14</f>
        <v>0</v>
      </c>
    </row>
    <row r="15" spans="1:20" ht="32.25" customHeight="1" x14ac:dyDescent="0.25">
      <c r="A15" s="125"/>
      <c r="B15" s="2" t="s">
        <v>321</v>
      </c>
      <c r="C15" s="243" t="s">
        <v>264</v>
      </c>
      <c r="D15" s="95" t="s">
        <v>254</v>
      </c>
      <c r="E15" s="2" t="s">
        <v>322</v>
      </c>
      <c r="F15" s="2" t="s">
        <v>7</v>
      </c>
      <c r="G15" s="191">
        <v>2.9600000000000001E-2</v>
      </c>
      <c r="H15" s="191">
        <v>0.1744</v>
      </c>
      <c r="I15" s="192">
        <v>44742</v>
      </c>
      <c r="J15" s="192">
        <v>44757</v>
      </c>
      <c r="K15" s="192">
        <v>43979</v>
      </c>
      <c r="L15" s="193" t="s">
        <v>323</v>
      </c>
      <c r="M15" s="81">
        <v>1027</v>
      </c>
      <c r="N15" s="69"/>
      <c r="O15" s="69">
        <f t="shared" si="5"/>
        <v>1027</v>
      </c>
      <c r="P15" s="68"/>
      <c r="Q15" s="69"/>
      <c r="R15" s="69"/>
      <c r="S15" s="70">
        <f t="shared" si="6"/>
        <v>0</v>
      </c>
    </row>
    <row r="16" spans="1:20" ht="32.25" customHeight="1" x14ac:dyDescent="0.25">
      <c r="A16" s="125"/>
      <c r="B16" s="2" t="s">
        <v>327</v>
      </c>
      <c r="C16" s="243" t="s">
        <v>242</v>
      </c>
      <c r="D16" s="95" t="s">
        <v>328</v>
      </c>
      <c r="E16" s="2" t="s">
        <v>329</v>
      </c>
      <c r="F16" s="2" t="s">
        <v>7</v>
      </c>
      <c r="G16" s="191">
        <v>2.9600000000000001E-2</v>
      </c>
      <c r="H16" s="191">
        <v>0.1744</v>
      </c>
      <c r="I16" s="192">
        <v>44440</v>
      </c>
      <c r="J16" s="192">
        <v>44440</v>
      </c>
      <c r="K16" s="192">
        <v>44201</v>
      </c>
      <c r="L16" s="193" t="s">
        <v>330</v>
      </c>
      <c r="M16" s="81">
        <v>31671.8</v>
      </c>
      <c r="N16" s="69"/>
      <c r="O16" s="69">
        <f t="shared" si="5"/>
        <v>31671.8</v>
      </c>
      <c r="P16" s="68"/>
      <c r="Q16" s="69">
        <v>31667.96</v>
      </c>
      <c r="R16" s="69"/>
      <c r="S16" s="70">
        <f t="shared" si="6"/>
        <v>31667.96</v>
      </c>
    </row>
    <row r="17" spans="2:19" x14ac:dyDescent="0.25">
      <c r="G17" s="126"/>
      <c r="H17" s="126"/>
      <c r="I17" s="119"/>
      <c r="J17" s="119"/>
      <c r="K17" s="119" t="s">
        <v>100</v>
      </c>
      <c r="M17" s="24"/>
      <c r="N17" s="25"/>
      <c r="O17" s="25"/>
      <c r="P17" s="69"/>
      <c r="Q17" s="25"/>
      <c r="R17" s="25"/>
      <c r="S17" s="26"/>
    </row>
    <row r="18" spans="2:19" ht="23.25" customHeight="1" x14ac:dyDescent="0.25">
      <c r="C18" s="95"/>
      <c r="D18" s="95"/>
      <c r="G18" s="126"/>
      <c r="H18" s="126"/>
      <c r="I18" s="119"/>
      <c r="J18" s="119"/>
      <c r="K18" s="119" t="s">
        <v>100</v>
      </c>
      <c r="L18" s="21" t="s">
        <v>38</v>
      </c>
      <c r="M18" s="68">
        <f>SUM(M7:M17)</f>
        <v>199089.74</v>
      </c>
      <c r="N18" s="68">
        <f>SUM(N7:N17)</f>
        <v>191547.94999999998</v>
      </c>
      <c r="O18" s="68">
        <f>SUM(O7:O17)</f>
        <v>390637.68999999994</v>
      </c>
      <c r="P18" s="68"/>
      <c r="Q18" s="68">
        <f>SUM(Q7:Q17)</f>
        <v>371446.66</v>
      </c>
      <c r="R18" s="68">
        <f>SUM(R7:R17)</f>
        <v>0</v>
      </c>
      <c r="S18" s="23">
        <f>SUM(S7:S17)</f>
        <v>371446.66</v>
      </c>
    </row>
    <row r="19" spans="2:19" x14ac:dyDescent="0.25">
      <c r="C19" s="95"/>
      <c r="D19" s="95"/>
      <c r="G19" s="126"/>
      <c r="H19" s="126"/>
      <c r="I19" s="119"/>
      <c r="J19" s="119"/>
      <c r="K19" s="119"/>
      <c r="L19" s="21"/>
      <c r="M19" s="68"/>
      <c r="N19" s="68"/>
      <c r="O19" s="68"/>
      <c r="P19" s="68"/>
      <c r="Q19" s="68"/>
      <c r="R19" s="68"/>
      <c r="S19" s="70"/>
    </row>
    <row r="20" spans="2:19" x14ac:dyDescent="0.25">
      <c r="C20" s="95"/>
      <c r="D20" s="95"/>
      <c r="G20" s="126"/>
      <c r="H20" s="126"/>
      <c r="I20" s="119"/>
      <c r="J20" s="119"/>
      <c r="K20" s="119"/>
      <c r="L20" s="21"/>
      <c r="M20" s="68"/>
      <c r="N20" s="68"/>
      <c r="O20" s="68"/>
      <c r="P20" s="68"/>
      <c r="Q20" s="68"/>
      <c r="R20" s="68"/>
      <c r="S20" s="70"/>
    </row>
    <row r="21" spans="2:19" x14ac:dyDescent="0.25">
      <c r="B21" s="8" t="s">
        <v>125</v>
      </c>
      <c r="C21" s="94"/>
      <c r="D21" s="94"/>
      <c r="S21" s="27"/>
    </row>
    <row r="22" spans="2:19" ht="33.75" customHeight="1" x14ac:dyDescent="0.25">
      <c r="B22" s="338" t="s">
        <v>126</v>
      </c>
      <c r="C22" s="338"/>
      <c r="D22" s="338"/>
      <c r="E22" s="338"/>
      <c r="F22" s="338"/>
      <c r="S22" s="27"/>
    </row>
    <row r="23" spans="2:19" x14ac:dyDescent="0.25">
      <c r="C23" s="94"/>
      <c r="D23" s="94"/>
      <c r="S23" s="27"/>
    </row>
    <row r="24" spans="2:19" ht="50.25" customHeight="1" x14ac:dyDescent="0.25">
      <c r="B24" s="338" t="s">
        <v>129</v>
      </c>
      <c r="C24" s="338"/>
      <c r="D24" s="338"/>
      <c r="E24" s="338"/>
      <c r="F24" s="338"/>
      <c r="S24" s="27"/>
    </row>
    <row r="25" spans="2:19" x14ac:dyDescent="0.25">
      <c r="B25" s="198"/>
      <c r="C25" s="198"/>
      <c r="D25" s="198"/>
      <c r="E25" s="198"/>
      <c r="F25" s="198"/>
      <c r="S25" s="27"/>
    </row>
    <row r="26" spans="2:19" ht="36.75" customHeight="1" x14ac:dyDescent="0.25">
      <c r="B26" s="338" t="s">
        <v>160</v>
      </c>
      <c r="C26" s="338"/>
      <c r="D26" s="338"/>
      <c r="E26" s="338"/>
      <c r="F26" s="338"/>
      <c r="S26" s="27"/>
    </row>
    <row r="27" spans="2:19" ht="15" customHeight="1" x14ac:dyDescent="0.25">
      <c r="B27" s="346" t="s">
        <v>159</v>
      </c>
      <c r="C27" s="338"/>
      <c r="D27" s="338"/>
      <c r="E27" s="338"/>
      <c r="F27" s="338"/>
      <c r="S27" s="27"/>
    </row>
    <row r="28" spans="2:19" ht="15" customHeight="1" x14ac:dyDescent="0.25">
      <c r="B28" s="200"/>
      <c r="C28" s="200"/>
      <c r="D28" s="200"/>
      <c r="E28" s="200"/>
      <c r="S28" s="27"/>
    </row>
    <row r="29" spans="2:19" x14ac:dyDescent="0.25">
      <c r="B29" s="181"/>
      <c r="C29" s="181"/>
      <c r="D29" s="181"/>
      <c r="E29" s="181"/>
      <c r="S29" s="27"/>
    </row>
    <row r="30" spans="2:19" x14ac:dyDescent="0.25">
      <c r="B30" s="7" t="s">
        <v>109</v>
      </c>
      <c r="C30" s="104" t="s">
        <v>112</v>
      </c>
      <c r="D30" s="104" t="s">
        <v>113</v>
      </c>
      <c r="E30" s="181"/>
      <c r="S30" s="27"/>
    </row>
    <row r="31" spans="2:19" x14ac:dyDescent="0.25">
      <c r="B31" s="2" t="s">
        <v>110</v>
      </c>
      <c r="C31" s="94" t="s">
        <v>116</v>
      </c>
      <c r="D31" s="94" t="s">
        <v>118</v>
      </c>
      <c r="E31" s="181"/>
      <c r="S31" s="27"/>
    </row>
    <row r="32" spans="2:19" x14ac:dyDescent="0.25">
      <c r="B32" s="2" t="s">
        <v>111</v>
      </c>
      <c r="C32" s="94" t="s">
        <v>114</v>
      </c>
      <c r="D32" s="94" t="s">
        <v>119</v>
      </c>
      <c r="S32" s="27"/>
    </row>
    <row r="33" spans="2:20" x14ac:dyDescent="0.25">
      <c r="B33" s="2" t="s">
        <v>252</v>
      </c>
      <c r="C33" s="94" t="s">
        <v>135</v>
      </c>
      <c r="D33" s="94" t="s">
        <v>147</v>
      </c>
      <c r="S33" s="27"/>
    </row>
    <row r="34" spans="2:20" x14ac:dyDescent="0.25">
      <c r="B34" s="2" t="s">
        <v>260</v>
      </c>
      <c r="C34" s="94" t="s">
        <v>135</v>
      </c>
      <c r="D34" s="94" t="s">
        <v>147</v>
      </c>
      <c r="S34" s="27"/>
    </row>
    <row r="35" spans="2:20" x14ac:dyDescent="0.25">
      <c r="B35" s="2" t="s">
        <v>267</v>
      </c>
      <c r="C35" s="94" t="s">
        <v>135</v>
      </c>
      <c r="D35" s="94" t="s">
        <v>147</v>
      </c>
      <c r="S35" s="27"/>
    </row>
    <row r="36" spans="2:20" x14ac:dyDescent="0.25">
      <c r="B36" s="2" t="s">
        <v>314</v>
      </c>
      <c r="C36" s="94" t="s">
        <v>135</v>
      </c>
      <c r="D36" s="94" t="s">
        <v>147</v>
      </c>
      <c r="S36" s="27"/>
    </row>
    <row r="37" spans="2:20" x14ac:dyDescent="0.25">
      <c r="B37" s="2" t="s">
        <v>318</v>
      </c>
      <c r="C37" s="94" t="s">
        <v>135</v>
      </c>
      <c r="D37" s="94" t="s">
        <v>147</v>
      </c>
      <c r="S37" s="27"/>
    </row>
    <row r="38" spans="2:20" x14ac:dyDescent="0.25">
      <c r="B38" s="2" t="s">
        <v>321</v>
      </c>
      <c r="C38" s="94" t="s">
        <v>135</v>
      </c>
      <c r="D38" s="94" t="s">
        <v>147</v>
      </c>
      <c r="S38" s="27"/>
    </row>
    <row r="39" spans="2:20" x14ac:dyDescent="0.25">
      <c r="B39" s="2" t="s">
        <v>326</v>
      </c>
      <c r="C39" s="94" t="s">
        <v>135</v>
      </c>
      <c r="D39" s="94" t="s">
        <v>147</v>
      </c>
      <c r="S39" s="27"/>
    </row>
    <row r="40" spans="2:20" x14ac:dyDescent="0.25">
      <c r="C40" s="94"/>
      <c r="D40" s="94"/>
      <c r="S40" s="27"/>
    </row>
    <row r="41" spans="2:20" x14ac:dyDescent="0.25">
      <c r="B41" s="347" t="s">
        <v>235</v>
      </c>
      <c r="C41" s="333"/>
      <c r="D41" s="333"/>
      <c r="E41" s="333"/>
      <c r="F41" s="333"/>
      <c r="G41" s="333"/>
      <c r="H41" s="333"/>
      <c r="S41" s="27"/>
    </row>
    <row r="42" spans="2:20" ht="15" customHeight="1" x14ac:dyDescent="0.25">
      <c r="B42" s="266" t="s">
        <v>236</v>
      </c>
      <c r="C42" s="94"/>
      <c r="D42" s="94"/>
      <c r="S42" s="27"/>
    </row>
    <row r="43" spans="2:20" ht="15" customHeight="1" x14ac:dyDescent="0.25">
      <c r="B43" s="227"/>
      <c r="C43" s="96"/>
      <c r="D43" s="96"/>
      <c r="E43" s="10"/>
      <c r="F43" s="10"/>
      <c r="G43" s="10"/>
      <c r="H43" s="10"/>
      <c r="I43" s="10"/>
      <c r="J43" s="10"/>
      <c r="K43" s="10"/>
      <c r="L43" s="10"/>
      <c r="M43" s="10"/>
      <c r="N43" s="10"/>
      <c r="O43" s="10"/>
      <c r="P43" s="10"/>
      <c r="Q43" s="10"/>
      <c r="R43" s="10"/>
      <c r="S43" s="28"/>
    </row>
    <row r="44" spans="2:20" ht="15" customHeight="1" x14ac:dyDescent="0.25">
      <c r="C44" s="95"/>
      <c r="D44" s="95"/>
      <c r="Q44" s="59" t="s">
        <v>90</v>
      </c>
      <c r="R44" s="50"/>
      <c r="S44" s="170"/>
    </row>
    <row r="45" spans="2:20" x14ac:dyDescent="0.25">
      <c r="B45" s="17" t="s">
        <v>39</v>
      </c>
      <c r="C45" s="182" t="s">
        <v>2</v>
      </c>
      <c r="D45" s="182"/>
      <c r="E45" s="182" t="s">
        <v>34</v>
      </c>
      <c r="F45" s="182" t="s">
        <v>35</v>
      </c>
      <c r="G45" s="182"/>
      <c r="H45" s="182"/>
      <c r="I45" s="182"/>
      <c r="J45" s="182"/>
      <c r="K45" s="182"/>
      <c r="L45" s="182" t="s">
        <v>36</v>
      </c>
      <c r="M45" s="182" t="s">
        <v>37</v>
      </c>
      <c r="N45" s="47"/>
      <c r="O45" s="47"/>
      <c r="P45" s="47"/>
      <c r="Q45" s="54" t="s">
        <v>88</v>
      </c>
      <c r="R45" s="52"/>
      <c r="S45" s="53"/>
      <c r="T45" s="51"/>
    </row>
    <row r="46" spans="2:20" x14ac:dyDescent="0.25">
      <c r="B46" s="65"/>
      <c r="C46" s="153"/>
      <c r="D46" s="153"/>
      <c r="E46" s="153"/>
      <c r="F46" s="153"/>
      <c r="G46" s="153"/>
      <c r="H46" s="153"/>
      <c r="I46" s="153"/>
      <c r="J46" s="153"/>
      <c r="K46" s="153"/>
      <c r="L46" s="153"/>
      <c r="M46" s="153"/>
      <c r="N46" s="45"/>
      <c r="O46" s="45"/>
      <c r="P46" s="45"/>
      <c r="T46" s="51"/>
    </row>
    <row r="47" spans="2:20" x14ac:dyDescent="0.25">
      <c r="B47" s="65"/>
      <c r="C47" s="153"/>
      <c r="D47" s="153"/>
      <c r="E47" s="153"/>
      <c r="F47" s="153"/>
      <c r="G47" s="153"/>
      <c r="H47" s="153"/>
      <c r="I47" s="153"/>
      <c r="J47" s="153"/>
      <c r="K47" s="153"/>
      <c r="L47" s="153"/>
      <c r="M47" s="153"/>
      <c r="N47" s="45"/>
      <c r="O47" s="45"/>
      <c r="P47" s="45"/>
      <c r="Q47" s="59"/>
      <c r="R47" s="50"/>
      <c r="S47" s="50"/>
      <c r="T47" s="51"/>
    </row>
    <row r="48" spans="2:20" x14ac:dyDescent="0.25">
      <c r="B48" s="11"/>
      <c r="C48" s="153"/>
      <c r="D48" s="153"/>
      <c r="E48" s="153"/>
      <c r="R48" s="51"/>
      <c r="S48" s="51"/>
      <c r="T48" s="51"/>
    </row>
    <row r="49" spans="2:19" x14ac:dyDescent="0.25">
      <c r="B49" s="12"/>
      <c r="C49" s="13"/>
      <c r="D49" s="13"/>
      <c r="E49" s="41"/>
      <c r="F49" s="15"/>
      <c r="G49" s="15"/>
      <c r="H49" s="15"/>
      <c r="I49" s="15"/>
      <c r="J49" s="15"/>
      <c r="K49" s="15"/>
      <c r="L49" s="16"/>
      <c r="M49" s="20"/>
      <c r="N49" s="18"/>
      <c r="O49" s="18"/>
      <c r="P49" s="18"/>
    </row>
    <row r="50" spans="2:19" x14ac:dyDescent="0.25">
      <c r="B50" s="12"/>
      <c r="C50" s="13"/>
      <c r="D50" s="13"/>
      <c r="E50" s="41"/>
      <c r="F50" s="15"/>
      <c r="G50" s="15"/>
      <c r="H50" s="15"/>
      <c r="I50" s="15"/>
      <c r="J50" s="15"/>
      <c r="K50" s="15"/>
      <c r="L50" s="16"/>
      <c r="M50" s="20"/>
      <c r="N50" s="18"/>
      <c r="O50" s="18"/>
      <c r="P50" s="18"/>
      <c r="Q50" s="325" t="s">
        <v>343</v>
      </c>
      <c r="R50" s="325"/>
      <c r="S50" s="329">
        <f>S18</f>
        <v>371446.66</v>
      </c>
    </row>
    <row r="51" spans="2:19" x14ac:dyDescent="0.25">
      <c r="B51" s="12"/>
      <c r="C51" s="13"/>
      <c r="D51" s="13"/>
      <c r="E51" s="41"/>
      <c r="F51" s="15"/>
      <c r="G51" s="15"/>
      <c r="H51" s="15"/>
      <c r="I51" s="15"/>
      <c r="J51" s="15"/>
      <c r="K51" s="15"/>
      <c r="L51" s="16"/>
      <c r="M51" s="20"/>
      <c r="N51" s="18"/>
      <c r="O51" s="18"/>
      <c r="P51" s="18"/>
    </row>
    <row r="52" spans="2:19" x14ac:dyDescent="0.25">
      <c r="B52" s="12"/>
      <c r="C52" s="13"/>
      <c r="D52" s="13"/>
      <c r="E52" s="41"/>
      <c r="F52" s="15"/>
      <c r="G52" s="15"/>
      <c r="H52" s="15"/>
      <c r="I52" s="15"/>
      <c r="J52" s="15"/>
      <c r="K52" s="15"/>
      <c r="L52" s="16"/>
      <c r="M52" s="20"/>
      <c r="N52" s="18"/>
      <c r="O52" s="18"/>
      <c r="P52" s="18"/>
    </row>
  </sheetData>
  <mergeCells count="7">
    <mergeCell ref="B41:H41"/>
    <mergeCell ref="B27:F27"/>
    <mergeCell ref="Q1:S1"/>
    <mergeCell ref="Q2:S2"/>
    <mergeCell ref="B26:F26"/>
    <mergeCell ref="B22:F22"/>
    <mergeCell ref="B24:F24"/>
  </mergeCells>
  <hyperlinks>
    <hyperlink ref="B27" r:id="rId1"/>
  </hyperlinks>
  <printOptions horizontalCentered="1" gridLines="1"/>
  <pageMargins left="0" right="0" top="0.75" bottom="0.75" header="0.3" footer="0.3"/>
  <pageSetup scale="49" orientation="landscape" horizontalDpi="1200" verticalDpi="120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0"/>
  <sheetViews>
    <sheetView topLeftCell="F14" zoomScale="90" zoomScaleNormal="90" workbookViewId="0">
      <selection activeCell="Q50" sqref="Q50:R50"/>
    </sheetView>
  </sheetViews>
  <sheetFormatPr defaultColWidth="9.140625" defaultRowHeight="15" x14ac:dyDescent="0.25"/>
  <cols>
    <col min="1" max="1" width="9.140625" style="2" hidden="1" customWidth="1"/>
    <col min="2" max="2" width="58.42578125" style="2" customWidth="1"/>
    <col min="3" max="3" width="30.85546875" style="2" customWidth="1"/>
    <col min="4" max="4" width="13.7109375" style="2" customWidth="1"/>
    <col min="5" max="5" width="16.85546875" style="2" customWidth="1"/>
    <col min="6" max="6" width="21.5703125" style="2" customWidth="1"/>
    <col min="7" max="7" width="8.5703125" style="2" customWidth="1"/>
    <col min="8" max="8" width="11.5703125" style="2" customWidth="1"/>
    <col min="9" max="9" width="10.85546875" style="2" customWidth="1"/>
    <col min="10" max="10" width="10" style="2" customWidth="1"/>
    <col min="11" max="11" width="8" style="2" customWidth="1"/>
    <col min="12" max="12" width="18.710937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4.5703125" style="2" customWidth="1"/>
    <col min="20" max="16384" width="9.140625" style="2"/>
  </cols>
  <sheetData>
    <row r="1" spans="1:20" ht="15.6" customHeight="1" x14ac:dyDescent="0.25">
      <c r="A1" s="2" t="s">
        <v>342</v>
      </c>
      <c r="B1" s="1" t="s">
        <v>288</v>
      </c>
      <c r="Q1" s="335" t="s">
        <v>154</v>
      </c>
      <c r="R1" s="335"/>
      <c r="S1" s="335"/>
    </row>
    <row r="2" spans="1:20" x14ac:dyDescent="0.25">
      <c r="B2" s="90" t="s">
        <v>148</v>
      </c>
      <c r="C2" s="187">
        <v>44377</v>
      </c>
      <c r="M2" s="73"/>
      <c r="N2" s="73"/>
      <c r="P2" s="29"/>
      <c r="Q2" s="334" t="s">
        <v>338</v>
      </c>
      <c r="R2" s="334"/>
      <c r="S2" s="334"/>
    </row>
    <row r="3" spans="1:20" ht="15.75" thickBot="1" x14ac:dyDescent="0.3">
      <c r="A3" s="2" t="s">
        <v>16</v>
      </c>
      <c r="B3" s="44" t="s">
        <v>74</v>
      </c>
      <c r="C3" s="8"/>
      <c r="D3" s="8"/>
      <c r="E3" s="8"/>
      <c r="P3" s="29"/>
      <c r="Q3" s="45"/>
      <c r="R3" s="30"/>
    </row>
    <row r="4" spans="1:20" x14ac:dyDescent="0.25">
      <c r="B4" s="228"/>
      <c r="M4" s="87" t="s">
        <v>28</v>
      </c>
      <c r="N4" s="87" t="s">
        <v>28</v>
      </c>
      <c r="O4" s="87" t="s">
        <v>28</v>
      </c>
      <c r="P4" s="153"/>
      <c r="Q4" s="91" t="s">
        <v>29</v>
      </c>
      <c r="R4" s="91" t="s">
        <v>31</v>
      </c>
      <c r="S4" s="91" t="s">
        <v>23</v>
      </c>
      <c r="T4" s="7"/>
    </row>
    <row r="5" spans="1:20" ht="15.75" thickBot="1" x14ac:dyDescent="0.3">
      <c r="G5" s="188" t="s">
        <v>231</v>
      </c>
      <c r="H5" s="188" t="s">
        <v>231</v>
      </c>
      <c r="M5" s="88" t="s">
        <v>27</v>
      </c>
      <c r="N5" s="88" t="s">
        <v>26</v>
      </c>
      <c r="O5" s="88" t="s">
        <v>25</v>
      </c>
      <c r="P5" s="153"/>
      <c r="Q5" s="92" t="s">
        <v>30</v>
      </c>
      <c r="R5" s="92" t="s">
        <v>30</v>
      </c>
      <c r="S5" s="92" t="s">
        <v>30</v>
      </c>
      <c r="T5" s="7"/>
    </row>
    <row r="6" spans="1:20" ht="85.5" customHeight="1" thickBot="1" x14ac:dyDescent="0.3">
      <c r="B6" s="86" t="s">
        <v>1</v>
      </c>
      <c r="C6" s="86" t="s">
        <v>127</v>
      </c>
      <c r="D6" s="86" t="s">
        <v>107</v>
      </c>
      <c r="E6" s="86" t="s">
        <v>3</v>
      </c>
      <c r="F6" s="86" t="s">
        <v>4</v>
      </c>
      <c r="G6" s="110" t="s">
        <v>136</v>
      </c>
      <c r="H6" s="110" t="s">
        <v>137</v>
      </c>
      <c r="I6" s="110" t="s">
        <v>133</v>
      </c>
      <c r="J6" s="110" t="s">
        <v>134</v>
      </c>
      <c r="K6" s="110" t="s">
        <v>121</v>
      </c>
      <c r="L6" s="85" t="s">
        <v>5</v>
      </c>
      <c r="M6" s="89" t="s">
        <v>6</v>
      </c>
      <c r="N6" s="89" t="s">
        <v>6</v>
      </c>
      <c r="O6" s="89" t="s">
        <v>6</v>
      </c>
      <c r="P6" s="153"/>
      <c r="Q6" s="93"/>
      <c r="R6" s="99" t="s">
        <v>32</v>
      </c>
      <c r="S6" s="100" t="s">
        <v>33</v>
      </c>
    </row>
    <row r="7" spans="1:20" hidden="1" x14ac:dyDescent="0.25">
      <c r="B7" s="2" t="s">
        <v>8</v>
      </c>
      <c r="C7" s="94" t="s">
        <v>106</v>
      </c>
      <c r="D7" s="94" t="s">
        <v>108</v>
      </c>
      <c r="E7" s="2" t="s">
        <v>155</v>
      </c>
      <c r="F7" s="2" t="s">
        <v>7</v>
      </c>
      <c r="G7" s="191">
        <v>2.7699999999999999E-2</v>
      </c>
      <c r="H7" s="191">
        <v>0.15060000000000001</v>
      </c>
      <c r="I7" s="192">
        <v>43646</v>
      </c>
      <c r="J7" s="192">
        <v>43647</v>
      </c>
      <c r="K7" s="192">
        <v>43282</v>
      </c>
      <c r="L7" s="193" t="s">
        <v>157</v>
      </c>
      <c r="M7" s="72">
        <v>0</v>
      </c>
      <c r="N7" s="72">
        <v>0</v>
      </c>
      <c r="O7" s="69">
        <f>M7+N7</f>
        <v>0</v>
      </c>
      <c r="P7" s="42"/>
      <c r="Q7" s="43">
        <v>0</v>
      </c>
      <c r="R7" s="69"/>
      <c r="S7" s="70">
        <f>Q7+R7</f>
        <v>0</v>
      </c>
    </row>
    <row r="8" spans="1:20" ht="30" hidden="1" customHeight="1" x14ac:dyDescent="0.25">
      <c r="B8" s="2" t="s">
        <v>128</v>
      </c>
      <c r="C8" s="243" t="s">
        <v>122</v>
      </c>
      <c r="D8" s="95" t="s">
        <v>123</v>
      </c>
      <c r="E8" s="2" t="s">
        <v>156</v>
      </c>
      <c r="F8" s="2" t="s">
        <v>7</v>
      </c>
      <c r="G8" s="191">
        <v>3.1399999999999997E-2</v>
      </c>
      <c r="H8" s="191">
        <v>0.16209999999999999</v>
      </c>
      <c r="I8" s="192">
        <v>42916</v>
      </c>
      <c r="J8" s="192">
        <v>42917</v>
      </c>
      <c r="K8" s="192">
        <v>42552</v>
      </c>
      <c r="L8" s="193" t="s">
        <v>139</v>
      </c>
      <c r="M8" s="72">
        <v>0</v>
      </c>
      <c r="N8" s="72"/>
      <c r="O8" s="69">
        <f>M8+N8</f>
        <v>0</v>
      </c>
      <c r="P8" s="42"/>
      <c r="Q8" s="43">
        <v>0</v>
      </c>
      <c r="R8" s="69"/>
      <c r="S8" s="70">
        <f>Q8+R8</f>
        <v>0</v>
      </c>
    </row>
    <row r="9" spans="1:20" ht="36.75" customHeight="1" x14ac:dyDescent="0.25">
      <c r="B9" s="2" t="s">
        <v>22</v>
      </c>
      <c r="C9" s="243" t="s">
        <v>132</v>
      </c>
      <c r="D9" s="94" t="s">
        <v>251</v>
      </c>
      <c r="E9" s="2" t="s">
        <v>238</v>
      </c>
      <c r="F9" s="2" t="s">
        <v>7</v>
      </c>
      <c r="G9" s="191">
        <v>2.9600000000000001E-2</v>
      </c>
      <c r="H9" s="191">
        <v>0.1744</v>
      </c>
      <c r="I9" s="192">
        <v>44439</v>
      </c>
      <c r="J9" s="192">
        <v>44438</v>
      </c>
      <c r="K9" s="288">
        <v>44013</v>
      </c>
      <c r="L9" s="194" t="s">
        <v>340</v>
      </c>
      <c r="M9" s="72">
        <v>1991</v>
      </c>
      <c r="N9" s="72">
        <v>0</v>
      </c>
      <c r="O9" s="69">
        <f>M9+N9</f>
        <v>1991</v>
      </c>
      <c r="P9" s="42"/>
      <c r="Q9" s="43">
        <v>0</v>
      </c>
      <c r="R9" s="69">
        <v>0</v>
      </c>
      <c r="S9" s="70">
        <f>Q9+R9</f>
        <v>0</v>
      </c>
    </row>
    <row r="10" spans="1:20" ht="23.25" customHeight="1" x14ac:dyDescent="0.25">
      <c r="B10" s="2" t="s">
        <v>283</v>
      </c>
      <c r="C10" s="243" t="s">
        <v>264</v>
      </c>
      <c r="D10" s="95" t="s">
        <v>254</v>
      </c>
      <c r="E10" s="2" t="s">
        <v>284</v>
      </c>
      <c r="F10" s="2" t="s">
        <v>7</v>
      </c>
      <c r="G10" s="191">
        <f t="shared" ref="G10:H10" si="0">+G9</f>
        <v>2.9600000000000001E-2</v>
      </c>
      <c r="H10" s="191">
        <f t="shared" si="0"/>
        <v>0.1744</v>
      </c>
      <c r="I10" s="192">
        <v>44377</v>
      </c>
      <c r="J10" s="192">
        <v>44392</v>
      </c>
      <c r="K10" s="192">
        <v>43613</v>
      </c>
      <c r="L10" s="193" t="s">
        <v>234</v>
      </c>
      <c r="M10" s="81">
        <v>7302.48</v>
      </c>
      <c r="N10" s="69"/>
      <c r="O10" s="69">
        <f>M10+N10</f>
        <v>7302.48</v>
      </c>
      <c r="P10" s="42"/>
      <c r="Q10" s="43"/>
      <c r="R10" s="69"/>
      <c r="S10" s="70">
        <f>Q10+R10</f>
        <v>0</v>
      </c>
    </row>
    <row r="11" spans="1:20" ht="13.5" customHeight="1" x14ac:dyDescent="0.25">
      <c r="C11" s="243"/>
      <c r="D11" s="95"/>
      <c r="G11" s="191"/>
      <c r="H11" s="191"/>
      <c r="I11" s="192"/>
      <c r="J11" s="192"/>
      <c r="K11" s="192"/>
      <c r="L11" s="193"/>
      <c r="M11" s="81"/>
      <c r="N11" s="69"/>
      <c r="O11" s="69"/>
      <c r="P11" s="42"/>
      <c r="Q11" s="43"/>
      <c r="R11" s="69"/>
      <c r="S11" s="70"/>
    </row>
    <row r="12" spans="1:20" ht="21" customHeight="1" x14ac:dyDescent="0.25">
      <c r="B12" s="29"/>
      <c r="C12" s="94"/>
      <c r="D12" s="94"/>
      <c r="L12" s="5" t="s">
        <v>38</v>
      </c>
      <c r="M12" s="284">
        <f>SUM(M7:M10)</f>
        <v>9293.48</v>
      </c>
      <c r="N12" s="284">
        <f>SUM(N7:N10)</f>
        <v>0</v>
      </c>
      <c r="O12" s="284">
        <f>SUM(O7:O10)</f>
        <v>9293.48</v>
      </c>
      <c r="P12" s="284"/>
      <c r="Q12" s="284">
        <f>SUM(Q7:Q10)</f>
        <v>0</v>
      </c>
      <c r="R12" s="284">
        <f>SUM(R7:R10)</f>
        <v>0</v>
      </c>
      <c r="S12" s="23">
        <f>SUM(S7:S10)</f>
        <v>0</v>
      </c>
    </row>
    <row r="13" spans="1:20" x14ac:dyDescent="0.25">
      <c r="B13" s="29"/>
      <c r="C13" s="94"/>
      <c r="D13" s="94"/>
      <c r="L13" s="5"/>
      <c r="M13" s="68"/>
      <c r="N13" s="68"/>
      <c r="O13" s="68"/>
      <c r="P13" s="29"/>
      <c r="Q13" s="68"/>
      <c r="R13" s="68"/>
      <c r="S13" s="70"/>
    </row>
    <row r="14" spans="1:20" x14ac:dyDescent="0.25">
      <c r="B14" s="8" t="s">
        <v>125</v>
      </c>
      <c r="C14" s="94"/>
      <c r="D14" s="94"/>
      <c r="L14" s="5"/>
      <c r="M14" s="68"/>
      <c r="N14" s="68"/>
      <c r="O14" s="68"/>
      <c r="P14" s="29"/>
      <c r="Q14" s="68"/>
      <c r="R14" s="68"/>
      <c r="S14" s="70"/>
    </row>
    <row r="15" spans="1:20" ht="31.5" customHeight="1" x14ac:dyDescent="0.25">
      <c r="B15" s="345" t="s">
        <v>126</v>
      </c>
      <c r="C15" s="345"/>
      <c r="D15" s="345"/>
      <c r="E15" s="345"/>
      <c r="F15" s="345"/>
      <c r="G15" s="303"/>
      <c r="H15" s="303"/>
      <c r="I15" s="303"/>
      <c r="L15" s="5"/>
      <c r="S15" s="27"/>
    </row>
    <row r="16" spans="1:20" x14ac:dyDescent="0.25">
      <c r="C16" s="94"/>
      <c r="D16" s="94"/>
      <c r="L16" s="5"/>
      <c r="M16" s="68"/>
      <c r="N16" s="68"/>
      <c r="O16" s="68"/>
      <c r="Q16" s="68"/>
      <c r="R16" s="68"/>
      <c r="S16" s="70"/>
    </row>
    <row r="17" spans="1:20" ht="44.25" customHeight="1" x14ac:dyDescent="0.25">
      <c r="B17" s="338" t="s">
        <v>129</v>
      </c>
      <c r="C17" s="338"/>
      <c r="D17" s="338"/>
      <c r="E17" s="338"/>
      <c r="F17" s="338"/>
      <c r="G17" s="300"/>
      <c r="H17" s="300"/>
      <c r="I17" s="300"/>
      <c r="L17" s="5"/>
      <c r="M17" s="68"/>
      <c r="N17" s="68"/>
      <c r="O17" s="68"/>
      <c r="Q17" s="68"/>
      <c r="R17" s="68"/>
      <c r="S17" s="70"/>
    </row>
    <row r="18" spans="1:20" x14ac:dyDescent="0.25">
      <c r="B18" s="300"/>
      <c r="C18" s="300"/>
      <c r="D18" s="300"/>
      <c r="E18" s="300"/>
      <c r="F18" s="300"/>
      <c r="G18" s="300"/>
      <c r="H18" s="300"/>
      <c r="I18" s="300"/>
      <c r="L18" s="5"/>
      <c r="M18" s="68"/>
      <c r="N18" s="68"/>
      <c r="O18" s="68"/>
      <c r="Q18" s="68"/>
      <c r="R18" s="68"/>
      <c r="S18" s="70"/>
    </row>
    <row r="19" spans="1:20" ht="30" customHeight="1" x14ac:dyDescent="0.25">
      <c r="B19" s="338" t="s">
        <v>160</v>
      </c>
      <c r="C19" s="338"/>
      <c r="D19" s="338"/>
      <c r="E19" s="338"/>
      <c r="F19" s="338"/>
      <c r="G19" s="300"/>
      <c r="H19" s="300"/>
      <c r="I19" s="300"/>
      <c r="L19" s="5"/>
      <c r="M19" s="68"/>
      <c r="N19" s="68"/>
      <c r="O19" s="68"/>
      <c r="Q19" s="68"/>
      <c r="R19" s="68"/>
      <c r="S19" s="70"/>
    </row>
    <row r="20" spans="1:20" ht="19.5" customHeight="1" x14ac:dyDescent="0.25">
      <c r="B20" s="346" t="s">
        <v>159</v>
      </c>
      <c r="C20" s="346"/>
      <c r="D20" s="346"/>
      <c r="E20" s="346"/>
      <c r="F20" s="346"/>
      <c r="G20" s="300"/>
      <c r="H20" s="300"/>
      <c r="I20" s="300"/>
      <c r="L20" s="5"/>
      <c r="M20" s="68"/>
      <c r="N20" s="68"/>
      <c r="O20" s="68"/>
      <c r="Q20" s="68"/>
      <c r="R20" s="68"/>
      <c r="S20" s="70"/>
    </row>
    <row r="21" spans="1:20" x14ac:dyDescent="0.25">
      <c r="B21" s="300"/>
      <c r="C21" s="300"/>
      <c r="D21" s="300"/>
      <c r="E21" s="300"/>
      <c r="F21" s="300"/>
      <c r="G21" s="300"/>
      <c r="H21" s="300"/>
      <c r="I21" s="300"/>
      <c r="L21" s="5"/>
      <c r="M21" s="68"/>
      <c r="N21" s="68"/>
      <c r="O21" s="68"/>
      <c r="Q21" s="68"/>
      <c r="R21" s="68"/>
      <c r="S21" s="70"/>
    </row>
    <row r="22" spans="1:20" x14ac:dyDescent="0.25">
      <c r="B22" s="7" t="s">
        <v>109</v>
      </c>
      <c r="C22" s="104" t="s">
        <v>112</v>
      </c>
      <c r="D22" s="104" t="s">
        <v>113</v>
      </c>
      <c r="E22" s="300"/>
      <c r="F22" s="300"/>
      <c r="G22" s="300"/>
      <c r="H22" s="300"/>
      <c r="I22" s="300"/>
      <c r="L22" s="5"/>
      <c r="M22" s="68"/>
      <c r="N22" s="68"/>
      <c r="O22" s="68"/>
      <c r="Q22" s="68"/>
      <c r="R22" s="68"/>
      <c r="S22" s="70"/>
    </row>
    <row r="23" spans="1:20" x14ac:dyDescent="0.25">
      <c r="B23" s="2" t="s">
        <v>260</v>
      </c>
      <c r="C23" s="94" t="s">
        <v>135</v>
      </c>
      <c r="D23" s="94" t="s">
        <v>147</v>
      </c>
      <c r="E23" s="300"/>
      <c r="F23" s="300"/>
      <c r="G23" s="300"/>
      <c r="H23" s="300"/>
      <c r="I23" s="300"/>
      <c r="L23" s="5"/>
      <c r="M23" s="68"/>
      <c r="N23" s="68"/>
      <c r="O23" s="68"/>
      <c r="Q23" s="68"/>
      <c r="R23" s="68"/>
      <c r="S23" s="70"/>
    </row>
    <row r="24" spans="1:20" x14ac:dyDescent="0.25">
      <c r="B24" s="2" t="s">
        <v>115</v>
      </c>
      <c r="C24" s="94" t="s">
        <v>179</v>
      </c>
      <c r="D24" s="94" t="s">
        <v>178</v>
      </c>
      <c r="E24" s="314"/>
      <c r="F24" s="314"/>
      <c r="G24" s="314"/>
      <c r="H24" s="314"/>
      <c r="I24" s="314"/>
      <c r="L24" s="5"/>
      <c r="M24" s="68"/>
      <c r="N24" s="68"/>
      <c r="O24" s="68"/>
      <c r="Q24" s="68"/>
      <c r="R24" s="68"/>
      <c r="S24" s="70"/>
    </row>
    <row r="25" spans="1:20" x14ac:dyDescent="0.25">
      <c r="C25" s="94"/>
      <c r="D25" s="94"/>
      <c r="L25" s="5"/>
      <c r="M25" s="68"/>
      <c r="N25" s="68"/>
      <c r="O25" s="68"/>
      <c r="Q25" s="68"/>
      <c r="R25" s="68"/>
      <c r="S25" s="70"/>
    </row>
    <row r="26" spans="1:20" x14ac:dyDescent="0.25">
      <c r="B26" s="304" t="s">
        <v>235</v>
      </c>
      <c r="C26" s="94"/>
      <c r="D26" s="94"/>
      <c r="L26" s="5"/>
      <c r="M26" s="68"/>
      <c r="N26" s="68"/>
      <c r="O26" s="68"/>
      <c r="Q26" s="68"/>
      <c r="R26" s="68"/>
      <c r="S26" s="70"/>
    </row>
    <row r="27" spans="1:20" x14ac:dyDescent="0.25">
      <c r="B27" s="299" t="s">
        <v>236</v>
      </c>
      <c r="C27" s="42"/>
      <c r="D27" s="42"/>
      <c r="E27" s="29"/>
      <c r="F27" s="29"/>
      <c r="G27" s="29"/>
      <c r="H27" s="29"/>
      <c r="L27" s="5"/>
      <c r="M27" s="68"/>
      <c r="N27" s="68"/>
      <c r="O27" s="68"/>
      <c r="Q27" s="68"/>
      <c r="R27" s="68"/>
      <c r="S27" s="70"/>
    </row>
    <row r="28" spans="1:20" x14ac:dyDescent="0.25">
      <c r="C28" s="94"/>
      <c r="D28" s="94"/>
      <c r="L28" s="5"/>
      <c r="M28" s="68"/>
      <c r="N28" s="68"/>
      <c r="O28" s="68"/>
      <c r="Q28" s="68"/>
      <c r="R28" s="68"/>
      <c r="S28" s="70"/>
    </row>
    <row r="29" spans="1:20" x14ac:dyDescent="0.25">
      <c r="B29" s="10"/>
      <c r="C29" s="10"/>
      <c r="D29" s="10"/>
      <c r="E29" s="10"/>
      <c r="F29" s="10"/>
      <c r="G29" s="10"/>
      <c r="H29" s="10"/>
      <c r="I29" s="10"/>
      <c r="J29" s="10"/>
      <c r="K29" s="29"/>
      <c r="L29" s="29"/>
      <c r="M29" s="10"/>
      <c r="N29" s="10"/>
      <c r="O29" s="29"/>
      <c r="P29" s="29"/>
      <c r="Q29" s="56"/>
      <c r="R29" s="56"/>
      <c r="S29" s="172"/>
      <c r="T29" s="51"/>
    </row>
    <row r="30" spans="1:20" x14ac:dyDescent="0.25">
      <c r="K30" s="112"/>
      <c r="L30" s="112"/>
      <c r="O30" s="112"/>
      <c r="P30" s="112"/>
      <c r="Q30" s="171" t="s">
        <v>90</v>
      </c>
      <c r="R30" s="173"/>
      <c r="S30" s="174"/>
    </row>
    <row r="31" spans="1:20" ht="13.9" customHeight="1" x14ac:dyDescent="0.25">
      <c r="B31" s="17" t="s">
        <v>39</v>
      </c>
      <c r="C31" s="302" t="s">
        <v>2</v>
      </c>
      <c r="D31" s="302" t="s">
        <v>34</v>
      </c>
      <c r="E31" s="131" t="s">
        <v>35</v>
      </c>
      <c r="F31" s="302"/>
      <c r="G31" s="342"/>
      <c r="H31" s="342"/>
      <c r="I31" s="342"/>
      <c r="J31" s="302"/>
      <c r="K31" s="302"/>
      <c r="L31" s="302" t="s">
        <v>36</v>
      </c>
      <c r="M31" s="302" t="s">
        <v>37</v>
      </c>
      <c r="N31" s="10"/>
      <c r="O31" s="10"/>
      <c r="P31" s="10"/>
      <c r="Q31" s="54" t="s">
        <v>88</v>
      </c>
      <c r="R31" s="54"/>
      <c r="S31" s="55"/>
    </row>
    <row r="32" spans="1:20" ht="15" customHeight="1" x14ac:dyDescent="0.25">
      <c r="A32" s="29"/>
      <c r="C32" s="136"/>
      <c r="D32" s="158"/>
      <c r="E32" s="137"/>
      <c r="F32" s="140"/>
      <c r="G32" s="344"/>
      <c r="H32" s="344"/>
      <c r="I32" s="344"/>
      <c r="J32" s="344"/>
      <c r="K32" s="141"/>
      <c r="L32" s="142"/>
      <c r="M32" s="143"/>
      <c r="N32" s="143"/>
      <c r="O32" s="18"/>
      <c r="P32" s="18"/>
    </row>
    <row r="33" spans="2:16" x14ac:dyDescent="0.25">
      <c r="B33" s="36"/>
      <c r="C33" s="157"/>
      <c r="D33" s="159"/>
      <c r="E33" s="138"/>
      <c r="F33" s="15"/>
      <c r="G33" s="38"/>
      <c r="H33" s="38"/>
      <c r="I33" s="38"/>
      <c r="J33" s="38"/>
      <c r="K33" s="38"/>
      <c r="L33" s="33"/>
      <c r="M33" s="31"/>
      <c r="N33" s="101"/>
    </row>
    <row r="34" spans="2:16" ht="16.5" customHeight="1" x14ac:dyDescent="0.25">
      <c r="C34" s="156"/>
      <c r="D34" s="159"/>
      <c r="E34" s="138"/>
      <c r="F34" s="160"/>
      <c r="G34" s="38"/>
      <c r="H34" s="38"/>
      <c r="I34" s="38"/>
      <c r="J34" s="38"/>
      <c r="K34" s="38"/>
      <c r="L34" s="39"/>
      <c r="M34" s="20"/>
      <c r="N34" s="101"/>
      <c r="O34" s="101"/>
      <c r="P34" s="29"/>
    </row>
    <row r="35" spans="2:16" ht="15" hidden="1" customHeight="1" x14ac:dyDescent="0.25">
      <c r="D35" s="45"/>
      <c r="E35" s="132"/>
      <c r="F35" s="95"/>
    </row>
    <row r="36" spans="2:16" ht="15" customHeight="1" x14ac:dyDescent="0.25">
      <c r="D36" s="45"/>
      <c r="E36" s="139"/>
      <c r="F36" s="84"/>
      <c r="G36" s="105"/>
      <c r="H36" s="105"/>
      <c r="I36" s="105"/>
      <c r="J36" s="105"/>
      <c r="K36" s="105"/>
    </row>
    <row r="37" spans="2:16" x14ac:dyDescent="0.25">
      <c r="C37" s="156"/>
      <c r="D37" s="45"/>
      <c r="E37" s="132"/>
      <c r="F37" s="155"/>
    </row>
    <row r="38" spans="2:16" x14ac:dyDescent="0.25">
      <c r="D38" s="45"/>
      <c r="E38" s="132"/>
      <c r="F38" s="95"/>
    </row>
    <row r="39" spans="2:16" ht="15" customHeight="1" x14ac:dyDescent="0.25">
      <c r="D39" s="45"/>
      <c r="E39" s="132"/>
      <c r="F39" s="95"/>
    </row>
    <row r="40" spans="2:16" x14ac:dyDescent="0.25">
      <c r="E40" s="161">
        <f>SUM(E32:E39)</f>
        <v>0</v>
      </c>
    </row>
    <row r="41" spans="2:16" x14ac:dyDescent="0.25">
      <c r="E41" s="301"/>
      <c r="F41" s="301"/>
      <c r="G41" s="301"/>
      <c r="H41" s="301"/>
      <c r="I41" s="301"/>
      <c r="J41" s="301"/>
      <c r="K41" s="301"/>
      <c r="L41" s="301"/>
      <c r="M41" s="301"/>
      <c r="N41" s="301"/>
      <c r="O41" s="301"/>
    </row>
    <row r="42" spans="2:16" x14ac:dyDescent="0.25">
      <c r="E42" s="301"/>
      <c r="F42" s="301"/>
      <c r="G42" s="301"/>
      <c r="H42" s="301"/>
      <c r="I42" s="301"/>
      <c r="J42" s="301"/>
      <c r="K42" s="301"/>
      <c r="L42" s="301"/>
      <c r="M42" s="301"/>
      <c r="N42" s="301"/>
      <c r="O42" s="301"/>
    </row>
    <row r="50" spans="17:19" x14ac:dyDescent="0.25">
      <c r="Q50" s="325" t="s">
        <v>343</v>
      </c>
      <c r="R50" s="325"/>
      <c r="S50" s="326">
        <f>S12</f>
        <v>0</v>
      </c>
    </row>
  </sheetData>
  <mergeCells count="8">
    <mergeCell ref="G31:I31"/>
    <mergeCell ref="G32:J32"/>
    <mergeCell ref="Q1:S1"/>
    <mergeCell ref="Q2:S2"/>
    <mergeCell ref="B15:F15"/>
    <mergeCell ref="B17:F17"/>
    <mergeCell ref="B19:F19"/>
    <mergeCell ref="B20:F20"/>
  </mergeCells>
  <hyperlinks>
    <hyperlink ref="B20" r:id="rId1"/>
  </hyperlinks>
  <printOptions horizontalCentered="1" gridLines="1"/>
  <pageMargins left="0" right="0" top="0.75" bottom="0.75" header="0.3" footer="0.3"/>
  <pageSetup scale="45" orientation="landscape" horizontalDpi="1200" verticalDpi="1200"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0"/>
  <sheetViews>
    <sheetView topLeftCell="C23" zoomScale="90" zoomScaleNormal="90" workbookViewId="0">
      <selection activeCell="S50" sqref="S50"/>
    </sheetView>
  </sheetViews>
  <sheetFormatPr defaultColWidth="9.140625" defaultRowHeight="15" x14ac:dyDescent="0.25"/>
  <cols>
    <col min="1" max="1" width="5.7109375" style="2" hidden="1" customWidth="1"/>
    <col min="2" max="2" width="59.140625" style="2" customWidth="1"/>
    <col min="3" max="3" width="23.140625" style="2" customWidth="1"/>
    <col min="4" max="4" width="13.7109375" style="2" customWidth="1"/>
    <col min="5" max="5" width="17" style="2" bestFit="1" customWidth="1"/>
    <col min="6" max="6" width="21.7109375" style="2" customWidth="1"/>
    <col min="7" max="7" width="10.28515625" style="2" customWidth="1"/>
    <col min="8" max="8" width="12.85546875" style="2" customWidth="1"/>
    <col min="9" max="9" width="13.42578125" style="2" customWidth="1"/>
    <col min="10" max="10" width="15.7109375" style="2" customWidth="1"/>
    <col min="11" max="11" width="8.85546875" style="2" customWidth="1"/>
    <col min="12" max="12" width="18.7109375" style="2" customWidth="1"/>
    <col min="13" max="13" width="13.28515625" style="2" bestFit="1" customWidth="1"/>
    <col min="14" max="14" width="13.7109375" style="2" customWidth="1"/>
    <col min="15" max="15" width="14.42578125" style="2" customWidth="1"/>
    <col min="16" max="16" width="3.140625" style="2" customWidth="1"/>
    <col min="17" max="17" width="12" style="2" customWidth="1"/>
    <col min="18" max="18" width="14.140625" style="2" customWidth="1"/>
    <col min="19" max="19" width="16.7109375" style="2" customWidth="1"/>
    <col min="20" max="16384" width="9.140625" style="2"/>
  </cols>
  <sheetData>
    <row r="1" spans="1:20" ht="18" customHeight="1" x14ac:dyDescent="0.25">
      <c r="A1" s="2" t="s">
        <v>342</v>
      </c>
      <c r="B1" s="8" t="s">
        <v>152</v>
      </c>
      <c r="Q1" s="335" t="s">
        <v>230</v>
      </c>
      <c r="R1" s="335"/>
      <c r="S1" s="335"/>
    </row>
    <row r="2" spans="1:20" ht="18" customHeight="1" x14ac:dyDescent="0.25">
      <c r="B2" s="90" t="s">
        <v>148</v>
      </c>
      <c r="C2" s="187">
        <v>44377</v>
      </c>
      <c r="M2" s="73"/>
      <c r="N2" s="73"/>
      <c r="P2" s="29"/>
      <c r="Q2" s="334" t="s">
        <v>338</v>
      </c>
      <c r="R2" s="334"/>
      <c r="S2" s="334"/>
    </row>
    <row r="3" spans="1:20" ht="18" customHeight="1" thickBot="1" x14ac:dyDescent="0.3">
      <c r="A3" s="2" t="s">
        <v>16</v>
      </c>
      <c r="B3" s="44" t="s">
        <v>153</v>
      </c>
      <c r="C3" s="8"/>
      <c r="D3" s="8"/>
      <c r="E3" s="8"/>
      <c r="P3" s="29"/>
      <c r="Q3" s="45"/>
      <c r="R3" s="30"/>
    </row>
    <row r="4" spans="1:20" ht="18.75" customHeight="1" x14ac:dyDescent="0.25">
      <c r="B4" s="8" t="s">
        <v>174</v>
      </c>
      <c r="M4" s="87" t="s">
        <v>28</v>
      </c>
      <c r="N4" s="87" t="s">
        <v>28</v>
      </c>
      <c r="O4" s="87" t="s">
        <v>28</v>
      </c>
      <c r="P4" s="153"/>
      <c r="Q4" s="91" t="s">
        <v>29</v>
      </c>
      <c r="R4" s="91" t="s">
        <v>31</v>
      </c>
      <c r="S4" s="91" t="s">
        <v>23</v>
      </c>
      <c r="T4" s="7"/>
    </row>
    <row r="5" spans="1:20" ht="15.75" thickBot="1" x14ac:dyDescent="0.3">
      <c r="G5" s="188" t="s">
        <v>231</v>
      </c>
      <c r="H5" s="188" t="s">
        <v>231</v>
      </c>
      <c r="M5" s="88" t="s">
        <v>27</v>
      </c>
      <c r="N5" s="88" t="s">
        <v>26</v>
      </c>
      <c r="O5" s="88" t="s">
        <v>25</v>
      </c>
      <c r="P5" s="153"/>
      <c r="Q5" s="92" t="s">
        <v>30</v>
      </c>
      <c r="R5" s="92" t="s">
        <v>30</v>
      </c>
      <c r="S5" s="92" t="s">
        <v>30</v>
      </c>
      <c r="T5" s="7"/>
    </row>
    <row r="6" spans="1:20" ht="85.5" customHeight="1" thickBot="1" x14ac:dyDescent="0.3">
      <c r="B6" s="86" t="s">
        <v>1</v>
      </c>
      <c r="C6" s="86" t="s">
        <v>127</v>
      </c>
      <c r="D6" s="86" t="s">
        <v>107</v>
      </c>
      <c r="E6" s="86" t="s">
        <v>3</v>
      </c>
      <c r="F6" s="86" t="s">
        <v>4</v>
      </c>
      <c r="G6" s="110" t="s">
        <v>136</v>
      </c>
      <c r="H6" s="110" t="s">
        <v>137</v>
      </c>
      <c r="I6" s="110" t="s">
        <v>133</v>
      </c>
      <c r="J6" s="110" t="s">
        <v>134</v>
      </c>
      <c r="K6" s="110" t="s">
        <v>121</v>
      </c>
      <c r="L6" s="85" t="s">
        <v>5</v>
      </c>
      <c r="M6" s="89" t="s">
        <v>6</v>
      </c>
      <c r="N6" s="89" t="s">
        <v>6</v>
      </c>
      <c r="O6" s="89" t="s">
        <v>6</v>
      </c>
      <c r="P6" s="153"/>
      <c r="Q6" s="93"/>
      <c r="R6" s="99" t="s">
        <v>32</v>
      </c>
      <c r="S6" s="100" t="s">
        <v>33</v>
      </c>
    </row>
    <row r="7" spans="1:20" hidden="1" x14ac:dyDescent="0.25">
      <c r="B7" s="205"/>
      <c r="C7" s="113"/>
      <c r="D7" s="94" t="s">
        <v>218</v>
      </c>
      <c r="E7" s="2" t="s">
        <v>232</v>
      </c>
      <c r="F7" s="2" t="s">
        <v>7</v>
      </c>
      <c r="G7" s="191">
        <v>2.9600000000000001E-2</v>
      </c>
      <c r="H7" s="191">
        <v>0.1744</v>
      </c>
      <c r="I7" s="192">
        <v>44377</v>
      </c>
      <c r="J7" s="192">
        <v>44378</v>
      </c>
      <c r="K7" s="192">
        <v>44013</v>
      </c>
      <c r="L7" s="193" t="s">
        <v>234</v>
      </c>
      <c r="M7" s="80"/>
      <c r="N7" s="69"/>
      <c r="O7" s="69"/>
      <c r="P7" s="69"/>
      <c r="Q7" s="69"/>
      <c r="R7" s="69"/>
      <c r="S7" s="70"/>
    </row>
    <row r="8" spans="1:20" ht="23.25" customHeight="1" x14ac:dyDescent="0.25">
      <c r="B8" s="343" t="s">
        <v>189</v>
      </c>
      <c r="C8" s="243" t="s">
        <v>190</v>
      </c>
      <c r="D8" s="2" t="s">
        <v>191</v>
      </c>
      <c r="E8" s="2" t="s">
        <v>233</v>
      </c>
      <c r="F8" s="2" t="s">
        <v>7</v>
      </c>
      <c r="G8" s="191">
        <v>2.9600000000000001E-2</v>
      </c>
      <c r="H8" s="191">
        <v>0.1744</v>
      </c>
      <c r="I8" s="119">
        <v>44043</v>
      </c>
      <c r="J8" s="192">
        <v>44058</v>
      </c>
      <c r="K8" s="192">
        <v>40756</v>
      </c>
      <c r="L8" s="193" t="s">
        <v>240</v>
      </c>
      <c r="M8" s="80">
        <v>433373</v>
      </c>
      <c r="N8" s="69"/>
      <c r="O8" s="69">
        <f>M8+N8</f>
        <v>433373</v>
      </c>
      <c r="P8" s="69"/>
      <c r="Q8" s="69">
        <f>81675.94+27687.9+4960.15</f>
        <v>114323.98999999999</v>
      </c>
      <c r="R8" s="69"/>
      <c r="S8" s="70">
        <f>Q8</f>
        <v>114323.98999999999</v>
      </c>
    </row>
    <row r="9" spans="1:20" ht="22.5" customHeight="1" x14ac:dyDescent="0.25">
      <c r="B9" s="343"/>
      <c r="C9" s="250"/>
      <c r="G9" s="126"/>
      <c r="H9" s="126"/>
      <c r="I9" s="119"/>
      <c r="J9" s="119"/>
      <c r="K9" s="119"/>
      <c r="M9" s="80"/>
      <c r="N9" s="69"/>
      <c r="O9" s="69"/>
      <c r="P9" s="69"/>
      <c r="Q9" s="69"/>
      <c r="R9" s="69"/>
      <c r="S9" s="70"/>
    </row>
    <row r="10" spans="1:20" ht="31.5" customHeight="1" x14ac:dyDescent="0.25">
      <c r="B10" s="2" t="s">
        <v>241</v>
      </c>
      <c r="C10" s="243" t="s">
        <v>242</v>
      </c>
      <c r="D10" s="95" t="s">
        <v>243</v>
      </c>
      <c r="E10" s="2" t="s">
        <v>244</v>
      </c>
      <c r="F10" s="2" t="s">
        <v>7</v>
      </c>
      <c r="G10" s="191">
        <v>2.9600000000000001E-2</v>
      </c>
      <c r="H10" s="191">
        <v>0.1744</v>
      </c>
      <c r="I10" s="192">
        <v>44834</v>
      </c>
      <c r="J10" s="192">
        <v>44849</v>
      </c>
      <c r="K10" s="192">
        <v>43614</v>
      </c>
      <c r="L10" s="193" t="s">
        <v>311</v>
      </c>
      <c r="M10" s="80">
        <v>64680.72</v>
      </c>
      <c r="N10" s="69"/>
      <c r="O10" s="69">
        <f>M10+N10</f>
        <v>64680.72</v>
      </c>
      <c r="P10" s="69"/>
      <c r="Q10" s="69"/>
      <c r="R10" s="69"/>
      <c r="S10" s="70">
        <f>Q10</f>
        <v>0</v>
      </c>
    </row>
    <row r="11" spans="1:20" ht="35.25" customHeight="1" x14ac:dyDescent="0.25">
      <c r="B11" s="287" t="s">
        <v>257</v>
      </c>
      <c r="C11" s="243" t="s">
        <v>253</v>
      </c>
      <c r="D11" s="95" t="s">
        <v>254</v>
      </c>
      <c r="E11" s="2" t="s">
        <v>255</v>
      </c>
      <c r="F11" s="2" t="s">
        <v>7</v>
      </c>
      <c r="G11" s="191">
        <f t="shared" ref="G11:H12" si="0">+G10</f>
        <v>2.9600000000000001E-2</v>
      </c>
      <c r="H11" s="191">
        <f t="shared" si="0"/>
        <v>0.1744</v>
      </c>
      <c r="I11" s="192">
        <v>44135</v>
      </c>
      <c r="J11" s="192">
        <v>44150</v>
      </c>
      <c r="K11" s="192">
        <v>43613</v>
      </c>
      <c r="L11" s="193" t="s">
        <v>334</v>
      </c>
      <c r="M11" s="80">
        <v>6451.72</v>
      </c>
      <c r="N11" s="69"/>
      <c r="O11" s="69">
        <f>M11+N11</f>
        <v>6451.72</v>
      </c>
      <c r="P11" s="69"/>
      <c r="Q11" s="69"/>
      <c r="R11" s="69"/>
      <c r="S11" s="70">
        <f>Q11</f>
        <v>0</v>
      </c>
    </row>
    <row r="12" spans="1:20" ht="31.5" customHeight="1" x14ac:dyDescent="0.25">
      <c r="B12" s="2" t="s">
        <v>283</v>
      </c>
      <c r="C12" s="243" t="s">
        <v>264</v>
      </c>
      <c r="D12" s="95" t="s">
        <v>254</v>
      </c>
      <c r="E12" s="2" t="s">
        <v>284</v>
      </c>
      <c r="F12" s="2" t="s">
        <v>7</v>
      </c>
      <c r="G12" s="191">
        <f t="shared" si="0"/>
        <v>2.9600000000000001E-2</v>
      </c>
      <c r="H12" s="191">
        <f t="shared" si="0"/>
        <v>0.1744</v>
      </c>
      <c r="I12" s="192">
        <v>44377</v>
      </c>
      <c r="J12" s="192">
        <v>44392</v>
      </c>
      <c r="K12" s="192">
        <v>43613</v>
      </c>
      <c r="L12" s="193" t="s">
        <v>234</v>
      </c>
      <c r="M12" s="81">
        <v>7302.48</v>
      </c>
      <c r="N12" s="69"/>
      <c r="O12" s="69">
        <f>M12+N12</f>
        <v>7302.48</v>
      </c>
      <c r="P12" s="69"/>
      <c r="Q12" s="69"/>
      <c r="R12" s="69"/>
      <c r="S12" s="70">
        <f>Q12+R12</f>
        <v>0</v>
      </c>
    </row>
    <row r="13" spans="1:20" ht="31.5" customHeight="1" x14ac:dyDescent="0.25">
      <c r="B13" s="2" t="s">
        <v>314</v>
      </c>
      <c r="C13" s="243" t="s">
        <v>242</v>
      </c>
      <c r="D13" s="95" t="s">
        <v>243</v>
      </c>
      <c r="E13" s="2" t="s">
        <v>315</v>
      </c>
      <c r="F13" s="2" t="s">
        <v>7</v>
      </c>
      <c r="G13" s="313">
        <f>+G11</f>
        <v>2.9600000000000001E-2</v>
      </c>
      <c r="H13" s="313">
        <f>+H11</f>
        <v>0.1744</v>
      </c>
      <c r="I13" s="312">
        <v>44773</v>
      </c>
      <c r="J13" s="312">
        <v>44788</v>
      </c>
      <c r="K13" s="192">
        <v>43980</v>
      </c>
      <c r="L13" s="193" t="s">
        <v>316</v>
      </c>
      <c r="M13" s="81">
        <v>3482.84</v>
      </c>
      <c r="N13" s="72"/>
      <c r="O13" s="69">
        <f>M13+N13</f>
        <v>3482.84</v>
      </c>
      <c r="P13" s="69"/>
      <c r="Q13" s="69"/>
      <c r="R13" s="69"/>
      <c r="S13" s="70">
        <f>Q13+R13</f>
        <v>0</v>
      </c>
    </row>
    <row r="14" spans="1:20" ht="31.5" customHeight="1" x14ac:dyDescent="0.25">
      <c r="B14" s="2" t="s">
        <v>318</v>
      </c>
      <c r="C14" s="243" t="s">
        <v>242</v>
      </c>
      <c r="D14" s="95" t="s">
        <v>243</v>
      </c>
      <c r="E14" s="2" t="s">
        <v>319</v>
      </c>
      <c r="F14" s="2" t="s">
        <v>7</v>
      </c>
      <c r="G14" s="191">
        <v>2.9600000000000001E-2</v>
      </c>
      <c r="H14" s="191">
        <v>0.1744</v>
      </c>
      <c r="I14" s="192">
        <v>44561</v>
      </c>
      <c r="J14" s="192">
        <v>44576</v>
      </c>
      <c r="K14" s="192">
        <v>43980</v>
      </c>
      <c r="L14" s="193" t="s">
        <v>320</v>
      </c>
      <c r="M14" s="81">
        <v>3000</v>
      </c>
      <c r="N14" s="69"/>
      <c r="O14" s="69">
        <f t="shared" ref="O14:O16" si="1">M14+N14</f>
        <v>3000</v>
      </c>
      <c r="P14" s="68"/>
      <c r="Q14" s="69"/>
      <c r="R14" s="69"/>
      <c r="S14" s="70">
        <f t="shared" ref="S14:S16" si="2">Q14+R14</f>
        <v>0</v>
      </c>
    </row>
    <row r="15" spans="1:20" ht="31.5" customHeight="1" x14ac:dyDescent="0.25">
      <c r="B15" s="2" t="s">
        <v>321</v>
      </c>
      <c r="C15" s="243" t="s">
        <v>264</v>
      </c>
      <c r="D15" s="95" t="s">
        <v>254</v>
      </c>
      <c r="E15" s="2" t="s">
        <v>322</v>
      </c>
      <c r="F15" s="2" t="s">
        <v>7</v>
      </c>
      <c r="G15" s="191">
        <v>2.9600000000000001E-2</v>
      </c>
      <c r="H15" s="191">
        <v>0.1744</v>
      </c>
      <c r="I15" s="192">
        <v>44742</v>
      </c>
      <c r="J15" s="192">
        <v>44757</v>
      </c>
      <c r="K15" s="192">
        <v>43979</v>
      </c>
      <c r="L15" s="193" t="s">
        <v>323</v>
      </c>
      <c r="M15" s="81">
        <v>1027</v>
      </c>
      <c r="N15" s="69"/>
      <c r="O15" s="69">
        <f t="shared" si="1"/>
        <v>1027</v>
      </c>
      <c r="P15" s="68"/>
      <c r="Q15" s="69"/>
      <c r="R15" s="69"/>
      <c r="S15" s="70">
        <f t="shared" si="2"/>
        <v>0</v>
      </c>
    </row>
    <row r="16" spans="1:20" ht="31.5" customHeight="1" x14ac:dyDescent="0.25">
      <c r="B16" s="2" t="s">
        <v>327</v>
      </c>
      <c r="C16" s="243" t="s">
        <v>242</v>
      </c>
      <c r="D16" s="95" t="s">
        <v>328</v>
      </c>
      <c r="E16" s="2" t="s">
        <v>329</v>
      </c>
      <c r="F16" s="2" t="s">
        <v>7</v>
      </c>
      <c r="G16" s="191">
        <v>2.9600000000000001E-2</v>
      </c>
      <c r="H16" s="191">
        <v>0.1744</v>
      </c>
      <c r="I16" s="192">
        <v>44440</v>
      </c>
      <c r="J16" s="192">
        <v>44440</v>
      </c>
      <c r="K16" s="192">
        <v>44201</v>
      </c>
      <c r="L16" s="193" t="s">
        <v>330</v>
      </c>
      <c r="M16" s="81">
        <v>109308.32</v>
      </c>
      <c r="N16" s="69"/>
      <c r="O16" s="69">
        <f t="shared" si="1"/>
        <v>109308.32</v>
      </c>
      <c r="P16" s="68"/>
      <c r="Q16" s="69"/>
      <c r="R16" s="69"/>
      <c r="S16" s="70">
        <f t="shared" si="2"/>
        <v>0</v>
      </c>
    </row>
    <row r="17" spans="2:19" ht="18.75" customHeight="1" x14ac:dyDescent="0.25">
      <c r="C17" s="243"/>
      <c r="D17" s="95"/>
      <c r="G17" s="191"/>
      <c r="H17" s="191"/>
      <c r="I17" s="192"/>
      <c r="J17" s="192"/>
      <c r="K17" s="192"/>
      <c r="L17" s="193"/>
      <c r="M17" s="80"/>
      <c r="N17" s="69"/>
      <c r="O17" s="69"/>
      <c r="P17" s="69"/>
      <c r="Q17" s="69"/>
      <c r="R17" s="69"/>
      <c r="S17" s="70"/>
    </row>
    <row r="18" spans="2:19" ht="24" customHeight="1" x14ac:dyDescent="0.25">
      <c r="C18" s="95"/>
      <c r="D18" s="95"/>
      <c r="G18" s="126"/>
      <c r="H18" s="126"/>
      <c r="I18" s="119"/>
      <c r="J18" s="119"/>
      <c r="K18" s="119" t="s">
        <v>100</v>
      </c>
      <c r="L18" s="21" t="s">
        <v>38</v>
      </c>
      <c r="M18" s="284">
        <f>SUM(M8:M17)</f>
        <v>628626.07999999996</v>
      </c>
      <c r="N18" s="284">
        <f>SUM(N8:N17)</f>
        <v>0</v>
      </c>
      <c r="O18" s="284">
        <f>SUM(O8:O17)</f>
        <v>628626.07999999996</v>
      </c>
      <c r="P18" s="68"/>
      <c r="Q18" s="284">
        <f>SUM(Q8:Q17)</f>
        <v>114323.98999999999</v>
      </c>
      <c r="R18" s="284">
        <f>SUM(R8:R17)</f>
        <v>0</v>
      </c>
      <c r="S18" s="23">
        <f>SUM(S8:S17)</f>
        <v>114323.98999999999</v>
      </c>
    </row>
    <row r="19" spans="2:19" x14ac:dyDescent="0.25">
      <c r="C19" s="95"/>
      <c r="D19" s="95"/>
      <c r="G19" s="126"/>
      <c r="H19" s="126"/>
      <c r="I19" s="119"/>
      <c r="J19" s="119"/>
      <c r="K19" s="119"/>
      <c r="L19" s="21"/>
      <c r="M19" s="68"/>
      <c r="N19" s="68"/>
      <c r="O19" s="68"/>
      <c r="P19" s="68"/>
      <c r="Q19" s="68"/>
      <c r="R19" s="68"/>
      <c r="S19" s="70"/>
    </row>
    <row r="20" spans="2:19" x14ac:dyDescent="0.25">
      <c r="B20" s="8" t="s">
        <v>125</v>
      </c>
      <c r="C20" s="94"/>
      <c r="D20" s="94"/>
      <c r="S20" s="27"/>
    </row>
    <row r="21" spans="2:19" ht="33.75" customHeight="1" x14ac:dyDescent="0.25">
      <c r="B21" s="338" t="s">
        <v>126</v>
      </c>
      <c r="C21" s="338"/>
      <c r="D21" s="338"/>
      <c r="E21" s="338"/>
      <c r="F21" s="338"/>
      <c r="S21" s="27"/>
    </row>
    <row r="22" spans="2:19" x14ac:dyDescent="0.25">
      <c r="C22" s="94"/>
      <c r="D22" s="94"/>
      <c r="S22" s="27"/>
    </row>
    <row r="23" spans="2:19" ht="50.25" customHeight="1" x14ac:dyDescent="0.25">
      <c r="B23" s="338" t="s">
        <v>129</v>
      </c>
      <c r="C23" s="338"/>
      <c r="D23" s="338"/>
      <c r="E23" s="338"/>
      <c r="F23" s="338"/>
      <c r="S23" s="27"/>
    </row>
    <row r="24" spans="2:19" x14ac:dyDescent="0.25">
      <c r="B24" s="195"/>
      <c r="C24" s="195"/>
      <c r="D24" s="195"/>
      <c r="E24" s="195"/>
      <c r="S24" s="27"/>
    </row>
    <row r="25" spans="2:19" ht="32.25" customHeight="1" x14ac:dyDescent="0.25">
      <c r="B25" s="338" t="s">
        <v>160</v>
      </c>
      <c r="C25" s="338"/>
      <c r="D25" s="338"/>
      <c r="E25" s="338"/>
      <c r="F25" s="338"/>
      <c r="S25" s="27"/>
    </row>
    <row r="26" spans="2:19" ht="15" customHeight="1" x14ac:dyDescent="0.25">
      <c r="B26" s="346" t="s">
        <v>159</v>
      </c>
      <c r="C26" s="338"/>
      <c r="D26" s="338"/>
      <c r="E26" s="338"/>
      <c r="F26" s="338"/>
      <c r="S26" s="27"/>
    </row>
    <row r="27" spans="2:19" ht="15" customHeight="1" x14ac:dyDescent="0.25">
      <c r="B27" s="200"/>
      <c r="C27" s="200"/>
      <c r="D27" s="200"/>
      <c r="E27" s="200"/>
      <c r="S27" s="27"/>
    </row>
    <row r="28" spans="2:19" x14ac:dyDescent="0.25">
      <c r="B28" s="7" t="s">
        <v>109</v>
      </c>
      <c r="C28" s="104" t="s">
        <v>112</v>
      </c>
      <c r="D28" s="104" t="s">
        <v>113</v>
      </c>
      <c r="E28" s="195"/>
      <c r="S28" s="27"/>
    </row>
    <row r="29" spans="2:19" x14ac:dyDescent="0.25">
      <c r="B29" s="2" t="s">
        <v>175</v>
      </c>
      <c r="C29" s="94" t="s">
        <v>135</v>
      </c>
      <c r="D29" s="94" t="s">
        <v>147</v>
      </c>
      <c r="E29" s="236"/>
      <c r="S29" s="27"/>
    </row>
    <row r="30" spans="2:19" x14ac:dyDescent="0.25">
      <c r="B30" s="2" t="s">
        <v>252</v>
      </c>
      <c r="C30" s="94" t="s">
        <v>135</v>
      </c>
      <c r="D30" s="94" t="s">
        <v>147</v>
      </c>
      <c r="S30" s="27"/>
    </row>
    <row r="31" spans="2:19" x14ac:dyDescent="0.25">
      <c r="B31" s="2" t="s">
        <v>256</v>
      </c>
      <c r="C31" s="94" t="s">
        <v>135</v>
      </c>
      <c r="D31" s="94" t="s">
        <v>147</v>
      </c>
      <c r="S31" s="27"/>
    </row>
    <row r="32" spans="2:19" x14ac:dyDescent="0.25">
      <c r="B32" s="2" t="s">
        <v>260</v>
      </c>
      <c r="C32" s="94" t="s">
        <v>135</v>
      </c>
      <c r="D32" s="94" t="s">
        <v>147</v>
      </c>
      <c r="S32" s="27"/>
    </row>
    <row r="33" spans="2:20" x14ac:dyDescent="0.25">
      <c r="B33" s="2" t="s">
        <v>314</v>
      </c>
      <c r="C33" s="94" t="s">
        <v>135</v>
      </c>
      <c r="D33" s="94" t="s">
        <v>147</v>
      </c>
      <c r="S33" s="27"/>
    </row>
    <row r="34" spans="2:20" x14ac:dyDescent="0.25">
      <c r="B34" s="2" t="s">
        <v>318</v>
      </c>
      <c r="C34" s="94" t="s">
        <v>135</v>
      </c>
      <c r="D34" s="94" t="s">
        <v>147</v>
      </c>
      <c r="S34" s="27"/>
    </row>
    <row r="35" spans="2:20" x14ac:dyDescent="0.25">
      <c r="B35" s="2" t="s">
        <v>321</v>
      </c>
      <c r="C35" s="94" t="s">
        <v>135</v>
      </c>
      <c r="D35" s="94" t="s">
        <v>147</v>
      </c>
      <c r="S35" s="27"/>
    </row>
    <row r="36" spans="2:20" x14ac:dyDescent="0.25">
      <c r="B36" s="2" t="s">
        <v>326</v>
      </c>
      <c r="C36" s="94" t="s">
        <v>135</v>
      </c>
      <c r="D36" s="94" t="s">
        <v>147</v>
      </c>
      <c r="S36" s="27"/>
    </row>
    <row r="37" spans="2:20" x14ac:dyDescent="0.25">
      <c r="C37" s="94"/>
      <c r="D37" s="94"/>
      <c r="S37" s="27"/>
    </row>
    <row r="38" spans="2:20" x14ac:dyDescent="0.25">
      <c r="B38" s="275" t="s">
        <v>235</v>
      </c>
      <c r="C38" s="42"/>
      <c r="D38" s="42"/>
      <c r="E38" s="29"/>
      <c r="F38" s="29"/>
      <c r="G38" s="29"/>
      <c r="H38" s="29"/>
      <c r="I38" s="29"/>
      <c r="J38" s="29"/>
      <c r="K38" s="29"/>
      <c r="L38" s="29"/>
      <c r="M38" s="29"/>
      <c r="N38" s="29"/>
      <c r="O38" s="29"/>
      <c r="P38" s="29"/>
      <c r="Q38" s="29"/>
      <c r="R38" s="29"/>
      <c r="S38" s="27"/>
    </row>
    <row r="39" spans="2:20" x14ac:dyDescent="0.25">
      <c r="B39" s="276" t="s">
        <v>236</v>
      </c>
      <c r="C39" s="42"/>
      <c r="D39" s="42"/>
      <c r="E39" s="29"/>
      <c r="F39" s="29"/>
      <c r="G39" s="29"/>
      <c r="H39" s="29"/>
      <c r="I39" s="29"/>
      <c r="J39" s="29"/>
      <c r="K39" s="29"/>
      <c r="L39" s="29"/>
      <c r="M39" s="29"/>
      <c r="N39" s="29"/>
      <c r="O39" s="29"/>
      <c r="P39" s="29"/>
      <c r="Q39" s="59"/>
      <c r="R39" s="49"/>
      <c r="S39" s="170"/>
    </row>
    <row r="40" spans="2:20" x14ac:dyDescent="0.25">
      <c r="B40" s="276"/>
      <c r="C40" s="42"/>
      <c r="D40" s="42"/>
      <c r="E40" s="29"/>
      <c r="F40" s="29"/>
      <c r="G40" s="29"/>
      <c r="H40" s="29"/>
      <c r="I40" s="29"/>
      <c r="J40" s="29"/>
      <c r="K40" s="29"/>
      <c r="L40" s="29"/>
      <c r="M40" s="29"/>
      <c r="N40" s="29"/>
      <c r="O40" s="29"/>
      <c r="P40" s="29"/>
      <c r="Q40" s="59"/>
      <c r="R40" s="49"/>
      <c r="S40" s="170"/>
    </row>
    <row r="41" spans="2:20" x14ac:dyDescent="0.25">
      <c r="B41" s="277"/>
      <c r="C41" s="273"/>
      <c r="D41" s="273"/>
      <c r="E41" s="112"/>
      <c r="F41" s="112"/>
      <c r="G41" s="112"/>
      <c r="H41" s="112"/>
      <c r="I41" s="112"/>
      <c r="J41" s="112"/>
      <c r="K41" s="112"/>
      <c r="L41" s="112"/>
      <c r="M41" s="112"/>
      <c r="N41" s="112"/>
      <c r="O41" s="112"/>
      <c r="P41" s="112"/>
      <c r="Q41" s="171" t="s">
        <v>90</v>
      </c>
      <c r="R41" s="168"/>
      <c r="S41" s="169"/>
    </row>
    <row r="42" spans="2:20" x14ac:dyDescent="0.25">
      <c r="B42" s="17" t="s">
        <v>39</v>
      </c>
      <c r="C42" s="196" t="s">
        <v>2</v>
      </c>
      <c r="D42" s="196"/>
      <c r="E42" s="196" t="s">
        <v>34</v>
      </c>
      <c r="F42" s="196" t="s">
        <v>35</v>
      </c>
      <c r="G42" s="196"/>
      <c r="H42" s="196"/>
      <c r="I42" s="196"/>
      <c r="J42" s="196"/>
      <c r="K42" s="196"/>
      <c r="L42" s="196" t="s">
        <v>36</v>
      </c>
      <c r="M42" s="196" t="s">
        <v>37</v>
      </c>
      <c r="N42" s="47"/>
      <c r="O42" s="47"/>
      <c r="P42" s="47"/>
      <c r="Q42" s="54" t="s">
        <v>88</v>
      </c>
      <c r="R42" s="52"/>
      <c r="S42" s="53"/>
      <c r="T42" s="51"/>
    </row>
    <row r="43" spans="2:20" ht="15" customHeight="1" x14ac:dyDescent="0.25">
      <c r="B43" s="65"/>
      <c r="C43" s="153"/>
      <c r="D43" s="153"/>
      <c r="E43" s="153"/>
      <c r="F43" s="153"/>
      <c r="G43" s="153"/>
      <c r="H43" s="153"/>
      <c r="I43" s="153"/>
      <c r="J43" s="153"/>
      <c r="K43" s="153"/>
      <c r="L43" s="153"/>
      <c r="M43" s="153"/>
      <c r="N43" s="45"/>
      <c r="O43" s="45"/>
      <c r="P43" s="45"/>
      <c r="T43" s="51"/>
    </row>
    <row r="44" spans="2:20" ht="15" customHeight="1" x14ac:dyDescent="0.25">
      <c r="B44" s="65"/>
      <c r="C44" s="153"/>
      <c r="D44" s="153"/>
      <c r="E44" s="153"/>
      <c r="F44" s="153"/>
      <c r="G44" s="153"/>
      <c r="H44" s="153"/>
      <c r="I44" s="153"/>
      <c r="J44" s="153"/>
      <c r="K44" s="153"/>
      <c r="L44" s="153"/>
      <c r="M44" s="153"/>
      <c r="N44" s="45"/>
      <c r="O44" s="45"/>
      <c r="P44" s="45"/>
      <c r="Q44" s="59"/>
      <c r="R44" s="50"/>
      <c r="S44" s="50"/>
      <c r="T44" s="51"/>
    </row>
    <row r="45" spans="2:20" ht="15" customHeight="1" x14ac:dyDescent="0.25">
      <c r="B45" s="11"/>
      <c r="C45" s="153"/>
      <c r="D45" s="153"/>
      <c r="E45" s="153"/>
      <c r="R45" s="51"/>
      <c r="S45" s="51"/>
      <c r="T45" s="51"/>
    </row>
    <row r="46" spans="2:20" x14ac:dyDescent="0.25">
      <c r="B46" s="12"/>
      <c r="C46" s="13"/>
      <c r="D46" s="13"/>
      <c r="E46" s="41"/>
      <c r="F46" s="15"/>
      <c r="G46" s="15"/>
      <c r="H46" s="15"/>
      <c r="I46" s="15"/>
      <c r="J46" s="15"/>
      <c r="K46" s="15"/>
      <c r="L46" s="16"/>
      <c r="M46" s="20"/>
      <c r="N46" s="18"/>
      <c r="O46" s="18"/>
      <c r="P46" s="18"/>
    </row>
    <row r="47" spans="2:20" x14ac:dyDescent="0.25">
      <c r="B47" s="12"/>
      <c r="C47" s="13"/>
      <c r="D47" s="13"/>
      <c r="E47" s="41"/>
      <c r="F47" s="15"/>
      <c r="G47" s="15"/>
      <c r="H47" s="15"/>
      <c r="I47" s="15"/>
      <c r="J47" s="15"/>
      <c r="K47" s="15"/>
      <c r="L47" s="16"/>
      <c r="M47" s="20"/>
      <c r="N47" s="18"/>
      <c r="O47" s="18"/>
      <c r="P47" s="18"/>
    </row>
    <row r="48" spans="2:20" x14ac:dyDescent="0.25">
      <c r="B48" s="12"/>
      <c r="C48" s="13"/>
      <c r="D48" s="13"/>
      <c r="E48" s="41"/>
      <c r="F48" s="15"/>
      <c r="G48" s="15"/>
      <c r="H48" s="15"/>
      <c r="I48" s="15"/>
      <c r="J48" s="15"/>
      <c r="K48" s="15"/>
      <c r="L48" s="16"/>
      <c r="M48" s="20"/>
      <c r="N48" s="18"/>
      <c r="O48" s="18"/>
      <c r="P48" s="18"/>
    </row>
    <row r="49" spans="2:19" x14ac:dyDescent="0.25">
      <c r="B49" s="12"/>
      <c r="C49" s="13"/>
      <c r="D49" s="13"/>
      <c r="E49" s="41"/>
      <c r="F49" s="15"/>
      <c r="G49" s="15"/>
      <c r="H49" s="15"/>
      <c r="I49" s="15"/>
      <c r="J49" s="15"/>
      <c r="K49" s="15"/>
      <c r="L49" s="16"/>
      <c r="M49" s="20"/>
      <c r="N49" s="18"/>
      <c r="O49" s="18"/>
      <c r="P49" s="18"/>
    </row>
    <row r="50" spans="2:19" x14ac:dyDescent="0.25">
      <c r="Q50" s="325" t="s">
        <v>343</v>
      </c>
      <c r="R50" s="325"/>
      <c r="S50" s="329">
        <f>S18</f>
        <v>114323.98999999999</v>
      </c>
    </row>
  </sheetData>
  <mergeCells count="7">
    <mergeCell ref="B26:F26"/>
    <mergeCell ref="Q1:S1"/>
    <mergeCell ref="Q2:S2"/>
    <mergeCell ref="B25:F25"/>
    <mergeCell ref="B21:F21"/>
    <mergeCell ref="B23:F23"/>
    <mergeCell ref="B8:B9"/>
  </mergeCells>
  <hyperlinks>
    <hyperlink ref="B26" r:id="rId1"/>
  </hyperlinks>
  <printOptions horizontalCentered="1" gridLines="1"/>
  <pageMargins left="0" right="0" top="0.75" bottom="0.75" header="0.3" footer="0.3"/>
  <pageSetup scale="49" orientation="landscape" horizontalDpi="1200" verticalDpi="1200"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1"/>
  <sheetViews>
    <sheetView topLeftCell="C17" zoomScale="90" zoomScaleNormal="90" workbookViewId="0">
      <selection activeCell="S50" sqref="S50"/>
    </sheetView>
  </sheetViews>
  <sheetFormatPr defaultColWidth="9.140625" defaultRowHeight="15" x14ac:dyDescent="0.25"/>
  <cols>
    <col min="1" max="1" width="5.7109375" style="2" hidden="1" customWidth="1"/>
    <col min="2" max="2" width="56" style="2" customWidth="1"/>
    <col min="3" max="3" width="24.42578125" style="2" bestFit="1" customWidth="1"/>
    <col min="4" max="4" width="13.7109375" style="2" customWidth="1"/>
    <col min="5" max="5" width="17" style="2" bestFit="1" customWidth="1"/>
    <col min="6" max="6" width="21.7109375" style="2" customWidth="1"/>
    <col min="7" max="7" width="11.7109375" style="2" customWidth="1"/>
    <col min="8" max="8" width="15.5703125" style="2" customWidth="1"/>
    <col min="9" max="9" width="14" style="2" customWidth="1"/>
    <col min="10" max="10" width="15.5703125" style="2" customWidth="1"/>
    <col min="11" max="11" width="10.28515625" style="2" customWidth="1"/>
    <col min="12" max="12" width="18.7109375" style="2" customWidth="1"/>
    <col min="13" max="13" width="13.28515625" style="2" bestFit="1" customWidth="1"/>
    <col min="14" max="14" width="16.140625" style="2" customWidth="1"/>
    <col min="15" max="15" width="14.42578125" style="2" customWidth="1"/>
    <col min="16" max="16" width="3.140625" style="2" customWidth="1"/>
    <col min="17" max="17" width="12" style="2" customWidth="1"/>
    <col min="18" max="18" width="14.140625" style="2" customWidth="1"/>
    <col min="19" max="19" width="16.7109375" style="2" customWidth="1"/>
    <col min="20" max="16384" width="9.140625" style="2"/>
  </cols>
  <sheetData>
    <row r="1" spans="1:20" ht="14.45" customHeight="1" x14ac:dyDescent="0.25">
      <c r="A1" s="2" t="s">
        <v>342</v>
      </c>
      <c r="B1" s="8" t="s">
        <v>161</v>
      </c>
      <c r="Q1" s="335" t="s">
        <v>230</v>
      </c>
      <c r="R1" s="335"/>
      <c r="S1" s="335"/>
    </row>
    <row r="2" spans="1:20" x14ac:dyDescent="0.25">
      <c r="B2" s="90" t="s">
        <v>148</v>
      </c>
      <c r="C2" s="187">
        <v>44377</v>
      </c>
      <c r="M2" s="73"/>
      <c r="N2" s="73"/>
      <c r="P2" s="29"/>
      <c r="Q2" s="334" t="s">
        <v>338</v>
      </c>
      <c r="R2" s="334"/>
      <c r="S2" s="334"/>
    </row>
    <row r="3" spans="1:20" ht="15.75" thickBot="1" x14ac:dyDescent="0.3">
      <c r="A3" s="2" t="s">
        <v>16</v>
      </c>
      <c r="B3" s="44" t="s">
        <v>162</v>
      </c>
      <c r="C3" s="8"/>
      <c r="D3" s="8"/>
      <c r="E3" s="8"/>
      <c r="P3" s="29"/>
      <c r="Q3" s="45"/>
      <c r="R3" s="30"/>
    </row>
    <row r="4" spans="1:20" x14ac:dyDescent="0.25">
      <c r="B4" s="8" t="s">
        <v>174</v>
      </c>
      <c r="M4" s="87" t="s">
        <v>28</v>
      </c>
      <c r="N4" s="87" t="s">
        <v>28</v>
      </c>
      <c r="O4" s="87" t="s">
        <v>28</v>
      </c>
      <c r="P4" s="153"/>
      <c r="Q4" s="91" t="s">
        <v>29</v>
      </c>
      <c r="R4" s="91" t="s">
        <v>31</v>
      </c>
      <c r="S4" s="91" t="s">
        <v>23</v>
      </c>
      <c r="T4" s="7"/>
    </row>
    <row r="5" spans="1:20" ht="15.75" thickBot="1" x14ac:dyDescent="0.3">
      <c r="G5" s="188" t="s">
        <v>231</v>
      </c>
      <c r="H5" s="188" t="s">
        <v>231</v>
      </c>
      <c r="M5" s="88" t="s">
        <v>27</v>
      </c>
      <c r="N5" s="88" t="s">
        <v>26</v>
      </c>
      <c r="O5" s="88" t="s">
        <v>25</v>
      </c>
      <c r="P5" s="153"/>
      <c r="Q5" s="92" t="s">
        <v>30</v>
      </c>
      <c r="R5" s="92" t="s">
        <v>30</v>
      </c>
      <c r="S5" s="92" t="s">
        <v>30</v>
      </c>
      <c r="T5" s="7"/>
    </row>
    <row r="6" spans="1:20" ht="85.5" customHeight="1" thickBot="1" x14ac:dyDescent="0.3">
      <c r="B6" s="86" t="s">
        <v>1</v>
      </c>
      <c r="C6" s="86" t="s">
        <v>127</v>
      </c>
      <c r="D6" s="86" t="s">
        <v>107</v>
      </c>
      <c r="E6" s="86" t="s">
        <v>3</v>
      </c>
      <c r="F6" s="86" t="s">
        <v>4</v>
      </c>
      <c r="G6" s="110" t="s">
        <v>136</v>
      </c>
      <c r="H6" s="110" t="s">
        <v>137</v>
      </c>
      <c r="I6" s="110" t="s">
        <v>133</v>
      </c>
      <c r="J6" s="110" t="s">
        <v>134</v>
      </c>
      <c r="K6" s="110" t="s">
        <v>121</v>
      </c>
      <c r="L6" s="85" t="s">
        <v>5</v>
      </c>
      <c r="M6" s="89" t="s">
        <v>6</v>
      </c>
      <c r="N6" s="89" t="s">
        <v>6</v>
      </c>
      <c r="O6" s="89" t="s">
        <v>6</v>
      </c>
      <c r="P6" s="153"/>
      <c r="Q6" s="93"/>
      <c r="R6" s="99" t="s">
        <v>32</v>
      </c>
      <c r="S6" s="100" t="s">
        <v>33</v>
      </c>
    </row>
    <row r="7" spans="1:20" hidden="1" x14ac:dyDescent="0.25">
      <c r="B7" s="205"/>
      <c r="C7" s="113"/>
      <c r="D7" s="94"/>
      <c r="E7" s="2" t="s">
        <v>232</v>
      </c>
      <c r="F7" s="2" t="s">
        <v>7</v>
      </c>
      <c r="G7" s="191">
        <v>2.9600000000000001E-2</v>
      </c>
      <c r="H7" s="191">
        <v>0.1744</v>
      </c>
      <c r="I7" s="192">
        <v>44377</v>
      </c>
      <c r="J7" s="192">
        <v>44378</v>
      </c>
      <c r="K7" s="192">
        <v>44013</v>
      </c>
      <c r="L7" s="193" t="s">
        <v>234</v>
      </c>
      <c r="M7" s="80"/>
      <c r="N7" s="69"/>
      <c r="O7" s="69"/>
      <c r="P7" s="69"/>
      <c r="Q7" s="69"/>
      <c r="R7" s="69"/>
      <c r="S7" s="70"/>
    </row>
    <row r="8" spans="1:20" ht="30" customHeight="1" x14ac:dyDescent="0.25">
      <c r="B8" s="234" t="s">
        <v>128</v>
      </c>
      <c r="C8" s="235" t="s">
        <v>122</v>
      </c>
      <c r="D8" s="95" t="s">
        <v>248</v>
      </c>
      <c r="E8" s="2" t="s">
        <v>233</v>
      </c>
      <c r="F8" s="2" t="s">
        <v>7</v>
      </c>
      <c r="G8" s="191">
        <v>2.9600000000000001E-2</v>
      </c>
      <c r="H8" s="191">
        <v>0.1744</v>
      </c>
      <c r="I8" s="192">
        <f t="shared" ref="I8:L8" si="0">+I7</f>
        <v>44377</v>
      </c>
      <c r="J8" s="192">
        <f t="shared" si="0"/>
        <v>44378</v>
      </c>
      <c r="K8" s="192">
        <f t="shared" si="0"/>
        <v>44013</v>
      </c>
      <c r="L8" s="193" t="str">
        <f t="shared" si="0"/>
        <v>07/01/20 - 06/30/21</v>
      </c>
      <c r="M8" s="80">
        <v>8486.76</v>
      </c>
      <c r="N8" s="69">
        <f>2236.68+18192.62</f>
        <v>20429.3</v>
      </c>
      <c r="O8" s="69">
        <f t="shared" ref="O8:O16" si="1">M8+N8</f>
        <v>28916.059999999998</v>
      </c>
      <c r="P8" s="69"/>
      <c r="Q8" s="69">
        <f>8486.76+2236.68+18192.62</f>
        <v>28916.059999999998</v>
      </c>
      <c r="R8" s="69"/>
      <c r="S8" s="70">
        <f t="shared" ref="S8:S13" si="2">Q8+R8</f>
        <v>28916.059999999998</v>
      </c>
    </row>
    <row r="9" spans="1:20" ht="30" customHeight="1" x14ac:dyDescent="0.25">
      <c r="B9" s="2" t="s">
        <v>241</v>
      </c>
      <c r="C9" s="243" t="s">
        <v>242</v>
      </c>
      <c r="D9" s="95" t="s">
        <v>243</v>
      </c>
      <c r="E9" s="2" t="s">
        <v>244</v>
      </c>
      <c r="F9" s="2" t="s">
        <v>7</v>
      </c>
      <c r="G9" s="191">
        <v>2.9600000000000001E-2</v>
      </c>
      <c r="H9" s="191">
        <v>0.1744</v>
      </c>
      <c r="I9" s="192">
        <v>44834</v>
      </c>
      <c r="J9" s="192">
        <v>44849</v>
      </c>
      <c r="K9" s="192">
        <v>43614</v>
      </c>
      <c r="L9" s="193" t="s">
        <v>311</v>
      </c>
      <c r="M9" s="80">
        <v>92099.39</v>
      </c>
      <c r="N9" s="69"/>
      <c r="O9" s="69">
        <f t="shared" si="1"/>
        <v>92099.39</v>
      </c>
      <c r="P9" s="69"/>
      <c r="Q9" s="69"/>
      <c r="R9" s="69"/>
      <c r="S9" s="70">
        <f t="shared" si="2"/>
        <v>0</v>
      </c>
    </row>
    <row r="10" spans="1:20" ht="30" customHeight="1" x14ac:dyDescent="0.25">
      <c r="B10" s="2" t="s">
        <v>283</v>
      </c>
      <c r="C10" s="243" t="s">
        <v>264</v>
      </c>
      <c r="D10" s="95" t="s">
        <v>254</v>
      </c>
      <c r="E10" s="2" t="s">
        <v>284</v>
      </c>
      <c r="F10" s="2" t="s">
        <v>7</v>
      </c>
      <c r="G10" s="191">
        <f t="shared" ref="G10:H10" si="3">+G9</f>
        <v>2.9600000000000001E-2</v>
      </c>
      <c r="H10" s="191">
        <f t="shared" si="3"/>
        <v>0.1744</v>
      </c>
      <c r="I10" s="192">
        <v>44377</v>
      </c>
      <c r="J10" s="192">
        <v>44392</v>
      </c>
      <c r="K10" s="192">
        <v>43613</v>
      </c>
      <c r="L10" s="193" t="s">
        <v>234</v>
      </c>
      <c r="M10" s="81">
        <v>7302.48</v>
      </c>
      <c r="N10" s="69"/>
      <c r="O10" s="69">
        <f t="shared" si="1"/>
        <v>7302.48</v>
      </c>
      <c r="P10" s="69"/>
      <c r="Q10" s="69"/>
      <c r="R10" s="69"/>
      <c r="S10" s="70">
        <f t="shared" si="2"/>
        <v>0</v>
      </c>
    </row>
    <row r="11" spans="1:20" ht="30" customHeight="1" x14ac:dyDescent="0.25">
      <c r="B11" s="307" t="s">
        <v>263</v>
      </c>
      <c r="C11" s="243" t="s">
        <v>264</v>
      </c>
      <c r="D11" s="95" t="s">
        <v>254</v>
      </c>
      <c r="E11" s="2" t="s">
        <v>265</v>
      </c>
      <c r="F11" s="2" t="s">
        <v>7</v>
      </c>
      <c r="G11" s="191">
        <f t="shared" ref="G11:H13" si="4">+G10</f>
        <v>2.9600000000000001E-2</v>
      </c>
      <c r="H11" s="191">
        <f t="shared" si="4"/>
        <v>0.1744</v>
      </c>
      <c r="I11" s="192">
        <v>44834</v>
      </c>
      <c r="J11" s="192">
        <v>44849</v>
      </c>
      <c r="K11" s="192">
        <v>43613</v>
      </c>
      <c r="L11" s="193" t="s">
        <v>335</v>
      </c>
      <c r="M11" s="67">
        <v>10000</v>
      </c>
      <c r="N11" s="69"/>
      <c r="O11" s="69">
        <f t="shared" si="1"/>
        <v>10000</v>
      </c>
      <c r="P11" s="69"/>
      <c r="Q11" s="69"/>
      <c r="R11" s="69"/>
      <c r="S11" s="70">
        <f t="shared" si="2"/>
        <v>0</v>
      </c>
    </row>
    <row r="12" spans="1:20" ht="24" customHeight="1" x14ac:dyDescent="0.25">
      <c r="B12" s="2" t="s">
        <v>289</v>
      </c>
      <c r="C12" s="243" t="s">
        <v>292</v>
      </c>
      <c r="D12" s="95" t="s">
        <v>290</v>
      </c>
      <c r="E12" s="2" t="s">
        <v>291</v>
      </c>
      <c r="F12" s="2" t="s">
        <v>7</v>
      </c>
      <c r="G12" s="191">
        <f t="shared" si="4"/>
        <v>2.9600000000000001E-2</v>
      </c>
      <c r="H12" s="191">
        <f t="shared" si="4"/>
        <v>0.1744</v>
      </c>
      <c r="I12" s="192">
        <v>44439</v>
      </c>
      <c r="J12" s="192">
        <v>44454</v>
      </c>
      <c r="K12" s="192">
        <v>44013</v>
      </c>
      <c r="L12" s="193" t="s">
        <v>337</v>
      </c>
      <c r="M12" s="81">
        <v>1527.81</v>
      </c>
      <c r="N12" s="69"/>
      <c r="O12" s="69">
        <f t="shared" si="1"/>
        <v>1527.81</v>
      </c>
      <c r="P12" s="69"/>
      <c r="Q12" s="69">
        <v>1527.81</v>
      </c>
      <c r="R12" s="69"/>
      <c r="S12" s="70">
        <f t="shared" si="2"/>
        <v>1527.81</v>
      </c>
    </row>
    <row r="13" spans="1:20" ht="30.75" customHeight="1" x14ac:dyDescent="0.25">
      <c r="B13" s="308" t="s">
        <v>302</v>
      </c>
      <c r="C13" s="243">
        <v>84.281999999999996</v>
      </c>
      <c r="D13" s="95" t="s">
        <v>164</v>
      </c>
      <c r="E13" s="2" t="s">
        <v>303</v>
      </c>
      <c r="F13" s="2" t="s">
        <v>7</v>
      </c>
      <c r="G13" s="191">
        <f t="shared" si="4"/>
        <v>2.9600000000000001E-2</v>
      </c>
      <c r="H13" s="191">
        <f t="shared" si="4"/>
        <v>0.1744</v>
      </c>
      <c r="I13" s="192">
        <v>44469</v>
      </c>
      <c r="J13" s="192">
        <v>44484</v>
      </c>
      <c r="K13" s="192">
        <v>42644</v>
      </c>
      <c r="L13" s="193" t="s">
        <v>304</v>
      </c>
      <c r="M13" s="81">
        <v>799657</v>
      </c>
      <c r="N13" s="69"/>
      <c r="O13" s="69">
        <f t="shared" si="1"/>
        <v>799657</v>
      </c>
      <c r="P13" s="69"/>
      <c r="Q13" s="69"/>
      <c r="R13" s="69"/>
      <c r="S13" s="70">
        <f t="shared" si="2"/>
        <v>0</v>
      </c>
    </row>
    <row r="14" spans="1:20" ht="30.75" customHeight="1" x14ac:dyDescent="0.25">
      <c r="B14" s="2" t="s">
        <v>318</v>
      </c>
      <c r="C14" s="243" t="s">
        <v>242</v>
      </c>
      <c r="D14" s="95" t="s">
        <v>243</v>
      </c>
      <c r="E14" s="2" t="s">
        <v>319</v>
      </c>
      <c r="F14" s="2" t="s">
        <v>7</v>
      </c>
      <c r="G14" s="191">
        <v>2.9600000000000001E-2</v>
      </c>
      <c r="H14" s="191">
        <v>0.1744</v>
      </c>
      <c r="I14" s="192">
        <v>44561</v>
      </c>
      <c r="J14" s="192">
        <v>44576</v>
      </c>
      <c r="K14" s="192">
        <v>43980</v>
      </c>
      <c r="L14" s="193" t="s">
        <v>320</v>
      </c>
      <c r="M14" s="81">
        <v>3000</v>
      </c>
      <c r="N14" s="69"/>
      <c r="O14" s="69">
        <f t="shared" si="1"/>
        <v>3000</v>
      </c>
      <c r="P14" s="68"/>
      <c r="Q14" s="69"/>
      <c r="R14" s="69"/>
      <c r="S14" s="70">
        <f t="shared" ref="S14:S16" si="5">Q14+R14</f>
        <v>0</v>
      </c>
    </row>
    <row r="15" spans="1:20" ht="30.75" customHeight="1" x14ac:dyDescent="0.25">
      <c r="B15" s="2" t="s">
        <v>321</v>
      </c>
      <c r="C15" s="243" t="s">
        <v>264</v>
      </c>
      <c r="D15" s="95" t="s">
        <v>254</v>
      </c>
      <c r="E15" s="2" t="s">
        <v>322</v>
      </c>
      <c r="F15" s="2" t="s">
        <v>7</v>
      </c>
      <c r="G15" s="191">
        <v>2.9600000000000001E-2</v>
      </c>
      <c r="H15" s="191">
        <v>0.1744</v>
      </c>
      <c r="I15" s="192">
        <v>44742</v>
      </c>
      <c r="J15" s="192">
        <v>44757</v>
      </c>
      <c r="K15" s="192">
        <v>43979</v>
      </c>
      <c r="L15" s="193" t="s">
        <v>323</v>
      </c>
      <c r="M15" s="81">
        <v>1027</v>
      </c>
      <c r="N15" s="69"/>
      <c r="O15" s="69">
        <f t="shared" si="1"/>
        <v>1027</v>
      </c>
      <c r="P15" s="68"/>
      <c r="Q15" s="69"/>
      <c r="R15" s="69"/>
      <c r="S15" s="70">
        <f t="shared" si="5"/>
        <v>0</v>
      </c>
    </row>
    <row r="16" spans="1:20" ht="30.75" customHeight="1" x14ac:dyDescent="0.25">
      <c r="B16" s="2" t="s">
        <v>327</v>
      </c>
      <c r="C16" s="243" t="s">
        <v>242</v>
      </c>
      <c r="D16" s="95" t="s">
        <v>328</v>
      </c>
      <c r="E16" s="2" t="s">
        <v>329</v>
      </c>
      <c r="F16" s="2" t="s">
        <v>7</v>
      </c>
      <c r="G16" s="191">
        <v>2.9600000000000001E-2</v>
      </c>
      <c r="H16" s="191">
        <v>0.1744</v>
      </c>
      <c r="I16" s="192">
        <v>44440</v>
      </c>
      <c r="J16" s="192">
        <v>44440</v>
      </c>
      <c r="K16" s="192">
        <v>44201</v>
      </c>
      <c r="L16" s="193" t="s">
        <v>330</v>
      </c>
      <c r="M16" s="81">
        <v>262169.43</v>
      </c>
      <c r="N16" s="69"/>
      <c r="O16" s="69">
        <f t="shared" si="1"/>
        <v>262169.43</v>
      </c>
      <c r="P16" s="68"/>
      <c r="Q16" s="69"/>
      <c r="R16" s="69"/>
      <c r="S16" s="70">
        <f t="shared" si="5"/>
        <v>0</v>
      </c>
    </row>
    <row r="17" spans="2:19" ht="18.75" customHeight="1" x14ac:dyDescent="0.25">
      <c r="B17" s="309"/>
      <c r="C17" s="308"/>
      <c r="G17" s="126"/>
      <c r="H17" s="126"/>
      <c r="I17" s="119"/>
      <c r="J17" s="119"/>
      <c r="K17" s="119"/>
      <c r="M17" s="80"/>
      <c r="N17" s="69"/>
      <c r="O17" s="69"/>
      <c r="P17" s="69"/>
      <c r="Q17" s="69"/>
      <c r="R17" s="69"/>
      <c r="S17" s="70"/>
    </row>
    <row r="18" spans="2:19" ht="20.25" customHeight="1" x14ac:dyDescent="0.25">
      <c r="C18" s="95"/>
      <c r="D18" s="95"/>
      <c r="G18" s="126"/>
      <c r="H18" s="126"/>
      <c r="I18" s="119"/>
      <c r="J18" s="119"/>
      <c r="K18" s="119" t="s">
        <v>100</v>
      </c>
      <c r="L18" s="21" t="s">
        <v>38</v>
      </c>
      <c r="M18" s="284">
        <f>SUM(M8:M17)</f>
        <v>1185269.8699999999</v>
      </c>
      <c r="N18" s="284">
        <f t="shared" ref="N18:O18" si="6">SUM(N8:N17)</f>
        <v>20429.3</v>
      </c>
      <c r="O18" s="284">
        <f t="shared" si="6"/>
        <v>1205699.17</v>
      </c>
      <c r="P18" s="68"/>
      <c r="Q18" s="284">
        <f t="shared" ref="Q18:S18" si="7">SUM(Q8:Q17)</f>
        <v>30443.87</v>
      </c>
      <c r="R18" s="284">
        <f t="shared" si="7"/>
        <v>0</v>
      </c>
      <c r="S18" s="23">
        <f t="shared" si="7"/>
        <v>30443.87</v>
      </c>
    </row>
    <row r="19" spans="2:19" x14ac:dyDescent="0.25">
      <c r="C19" s="95"/>
      <c r="D19" s="95"/>
      <c r="G19" s="126"/>
      <c r="H19" s="126"/>
      <c r="I19" s="119"/>
      <c r="J19" s="119"/>
      <c r="K19" s="119"/>
      <c r="L19" s="21"/>
      <c r="M19" s="68"/>
      <c r="N19" s="68"/>
      <c r="O19" s="68"/>
      <c r="P19" s="68"/>
      <c r="Q19" s="68"/>
      <c r="R19" s="68"/>
      <c r="S19" s="70"/>
    </row>
    <row r="20" spans="2:19" x14ac:dyDescent="0.25">
      <c r="C20" s="95"/>
      <c r="D20" s="95"/>
      <c r="G20" s="126"/>
      <c r="H20" s="126"/>
      <c r="I20" s="119"/>
      <c r="J20" s="119"/>
      <c r="K20" s="119"/>
      <c r="L20" s="21"/>
      <c r="M20" s="68"/>
      <c r="N20" s="68"/>
      <c r="O20" s="68"/>
      <c r="P20" s="68"/>
      <c r="Q20" s="68"/>
      <c r="R20" s="68"/>
      <c r="S20" s="70"/>
    </row>
    <row r="21" spans="2:19" x14ac:dyDescent="0.25">
      <c r="B21" s="8" t="s">
        <v>125</v>
      </c>
      <c r="C21" s="94"/>
      <c r="D21" s="94"/>
      <c r="S21" s="27"/>
    </row>
    <row r="22" spans="2:19" ht="33.75" customHeight="1" x14ac:dyDescent="0.25">
      <c r="B22" s="338" t="s">
        <v>126</v>
      </c>
      <c r="C22" s="338"/>
      <c r="D22" s="338"/>
      <c r="E22" s="338"/>
      <c r="F22" s="338"/>
      <c r="S22" s="27"/>
    </row>
    <row r="23" spans="2:19" x14ac:dyDescent="0.25">
      <c r="C23" s="94"/>
      <c r="D23" s="94"/>
      <c r="S23" s="27"/>
    </row>
    <row r="24" spans="2:19" ht="50.25" customHeight="1" x14ac:dyDescent="0.25">
      <c r="B24" s="338" t="s">
        <v>129</v>
      </c>
      <c r="C24" s="338"/>
      <c r="D24" s="338"/>
      <c r="E24" s="338"/>
      <c r="F24" s="338"/>
      <c r="S24" s="27"/>
    </row>
    <row r="25" spans="2:19" x14ac:dyDescent="0.25">
      <c r="B25" s="202"/>
      <c r="C25" s="202"/>
      <c r="D25" s="202"/>
      <c r="E25" s="202"/>
      <c r="S25" s="27"/>
    </row>
    <row r="26" spans="2:19" ht="32.25" customHeight="1" x14ac:dyDescent="0.25">
      <c r="B26" s="338" t="s">
        <v>160</v>
      </c>
      <c r="C26" s="338"/>
      <c r="D26" s="338"/>
      <c r="E26" s="338"/>
      <c r="F26" s="338"/>
      <c r="S26" s="27"/>
    </row>
    <row r="27" spans="2:19" ht="15" customHeight="1" x14ac:dyDescent="0.25">
      <c r="B27" s="346" t="s">
        <v>159</v>
      </c>
      <c r="C27" s="338"/>
      <c r="D27" s="338"/>
      <c r="E27" s="338"/>
      <c r="F27" s="338"/>
      <c r="S27" s="27"/>
    </row>
    <row r="28" spans="2:19" ht="15" customHeight="1" x14ac:dyDescent="0.25">
      <c r="B28" s="202"/>
      <c r="C28" s="202"/>
      <c r="D28" s="202"/>
      <c r="E28" s="202"/>
      <c r="S28" s="27"/>
    </row>
    <row r="29" spans="2:19" x14ac:dyDescent="0.25">
      <c r="B29" s="7" t="s">
        <v>109</v>
      </c>
      <c r="C29" s="104" t="s">
        <v>112</v>
      </c>
      <c r="D29" s="104" t="s">
        <v>113</v>
      </c>
      <c r="E29" s="202"/>
      <c r="S29" s="27"/>
    </row>
    <row r="30" spans="2:19" x14ac:dyDescent="0.25">
      <c r="B30" s="234" t="s">
        <v>111</v>
      </c>
      <c r="C30" s="94" t="s">
        <v>114</v>
      </c>
      <c r="D30" s="94" t="s">
        <v>119</v>
      </c>
      <c r="E30" s="233"/>
      <c r="S30" s="27"/>
    </row>
    <row r="31" spans="2:19" x14ac:dyDescent="0.25">
      <c r="B31" s="2" t="s">
        <v>252</v>
      </c>
      <c r="C31" s="94" t="s">
        <v>135</v>
      </c>
      <c r="D31" s="94" t="s">
        <v>147</v>
      </c>
      <c r="S31" s="27"/>
    </row>
    <row r="32" spans="2:19" x14ac:dyDescent="0.25">
      <c r="B32" s="2" t="s">
        <v>260</v>
      </c>
      <c r="C32" s="94" t="s">
        <v>135</v>
      </c>
      <c r="D32" s="94" t="s">
        <v>147</v>
      </c>
      <c r="S32" s="27"/>
    </row>
    <row r="33" spans="2:20" x14ac:dyDescent="0.25">
      <c r="B33" s="2" t="s">
        <v>261</v>
      </c>
      <c r="C33" s="94" t="s">
        <v>179</v>
      </c>
      <c r="D33" s="94" t="s">
        <v>262</v>
      </c>
      <c r="S33" s="27"/>
    </row>
    <row r="34" spans="2:20" x14ac:dyDescent="0.25">
      <c r="B34" s="2" t="s">
        <v>297</v>
      </c>
      <c r="C34" s="94" t="s">
        <v>180</v>
      </c>
      <c r="D34" s="94" t="s">
        <v>181</v>
      </c>
      <c r="S34" s="27"/>
    </row>
    <row r="35" spans="2:20" x14ac:dyDescent="0.25">
      <c r="B35" s="2" t="s">
        <v>301</v>
      </c>
      <c r="C35" s="94" t="s">
        <v>135</v>
      </c>
      <c r="D35" s="94" t="s">
        <v>147</v>
      </c>
      <c r="S35" s="27"/>
    </row>
    <row r="36" spans="2:20" x14ac:dyDescent="0.25">
      <c r="B36" s="2" t="s">
        <v>318</v>
      </c>
      <c r="C36" s="94" t="s">
        <v>135</v>
      </c>
      <c r="D36" s="94" t="s">
        <v>147</v>
      </c>
      <c r="S36" s="27"/>
    </row>
    <row r="37" spans="2:20" x14ac:dyDescent="0.25">
      <c r="B37" s="2" t="s">
        <v>321</v>
      </c>
      <c r="C37" s="94" t="s">
        <v>135</v>
      </c>
      <c r="D37" s="94" t="s">
        <v>147</v>
      </c>
      <c r="S37" s="27"/>
    </row>
    <row r="38" spans="2:20" x14ac:dyDescent="0.25">
      <c r="B38" s="2" t="s">
        <v>326</v>
      </c>
      <c r="C38" s="94" t="s">
        <v>135</v>
      </c>
      <c r="D38" s="94" t="s">
        <v>147</v>
      </c>
      <c r="S38" s="27"/>
    </row>
    <row r="39" spans="2:20" x14ac:dyDescent="0.25">
      <c r="C39" s="94"/>
      <c r="D39" s="94"/>
      <c r="S39" s="27"/>
    </row>
    <row r="40" spans="2:20" x14ac:dyDescent="0.25">
      <c r="B40" s="270" t="s">
        <v>235</v>
      </c>
      <c r="C40" s="94"/>
      <c r="D40" s="94"/>
      <c r="S40" s="27"/>
    </row>
    <row r="41" spans="2:20" x14ac:dyDescent="0.25">
      <c r="B41" s="276" t="s">
        <v>236</v>
      </c>
      <c r="C41" s="94"/>
      <c r="D41" s="94"/>
      <c r="S41" s="27"/>
    </row>
    <row r="42" spans="2:20" x14ac:dyDescent="0.25">
      <c r="B42" s="29"/>
      <c r="C42" s="96"/>
      <c r="D42" s="96"/>
      <c r="E42" s="10"/>
      <c r="F42" s="10"/>
      <c r="G42" s="10"/>
      <c r="H42" s="10"/>
      <c r="I42" s="10"/>
      <c r="J42" s="10"/>
      <c r="K42" s="10"/>
      <c r="L42" s="10"/>
      <c r="M42" s="10"/>
      <c r="N42" s="10"/>
      <c r="O42" s="10"/>
      <c r="P42" s="10"/>
      <c r="Q42" s="10"/>
      <c r="R42" s="10"/>
      <c r="S42" s="28"/>
    </row>
    <row r="43" spans="2:20" x14ac:dyDescent="0.25">
      <c r="B43" s="277"/>
      <c r="C43" s="95"/>
      <c r="D43" s="95"/>
      <c r="Q43" s="59" t="s">
        <v>90</v>
      </c>
      <c r="R43" s="50"/>
      <c r="S43" s="170"/>
    </row>
    <row r="44" spans="2:20" ht="15" customHeight="1" x14ac:dyDescent="0.25">
      <c r="B44" s="17" t="s">
        <v>39</v>
      </c>
      <c r="C44" s="203" t="s">
        <v>2</v>
      </c>
      <c r="D44" s="203"/>
      <c r="E44" s="203" t="s">
        <v>34</v>
      </c>
      <c r="F44" s="203" t="s">
        <v>35</v>
      </c>
      <c r="G44" s="203"/>
      <c r="H44" s="203"/>
      <c r="I44" s="203"/>
      <c r="J44" s="203"/>
      <c r="K44" s="203"/>
      <c r="L44" s="203" t="s">
        <v>36</v>
      </c>
      <c r="M44" s="203" t="s">
        <v>37</v>
      </c>
      <c r="N44" s="47"/>
      <c r="O44" s="47"/>
      <c r="P44" s="47"/>
      <c r="Q44" s="54" t="s">
        <v>88</v>
      </c>
      <c r="R44" s="52"/>
      <c r="S44" s="53"/>
      <c r="T44" s="51"/>
    </row>
    <row r="45" spans="2:20" ht="15" customHeight="1" x14ac:dyDescent="0.25">
      <c r="B45" s="65"/>
      <c r="C45" s="153"/>
      <c r="D45" s="153"/>
      <c r="E45" s="153"/>
      <c r="F45" s="153"/>
      <c r="G45" s="153"/>
      <c r="H45" s="153"/>
      <c r="I45" s="153"/>
      <c r="J45" s="153"/>
      <c r="K45" s="153"/>
      <c r="L45" s="153"/>
      <c r="M45" s="153"/>
      <c r="N45" s="45"/>
      <c r="O45" s="45"/>
      <c r="P45" s="45"/>
      <c r="T45" s="51"/>
    </row>
    <row r="46" spans="2:20" ht="15" customHeight="1" x14ac:dyDescent="0.25">
      <c r="B46" s="65"/>
      <c r="C46" s="153"/>
      <c r="D46" s="153"/>
      <c r="E46" s="153"/>
      <c r="F46" s="153"/>
      <c r="G46" s="153"/>
      <c r="H46" s="153"/>
      <c r="I46" s="153"/>
      <c r="J46" s="153"/>
      <c r="K46" s="153"/>
      <c r="L46" s="153"/>
      <c r="M46" s="153"/>
      <c r="N46" s="45"/>
      <c r="O46" s="45"/>
      <c r="P46" s="45"/>
      <c r="Q46" s="59"/>
      <c r="R46" s="50"/>
      <c r="S46" s="50"/>
      <c r="T46" s="51"/>
    </row>
    <row r="47" spans="2:20" x14ac:dyDescent="0.25">
      <c r="B47" s="11"/>
      <c r="C47" s="153"/>
      <c r="D47" s="153"/>
      <c r="E47" s="153"/>
      <c r="R47" s="51"/>
      <c r="S47" s="51"/>
      <c r="T47" s="51"/>
    </row>
    <row r="48" spans="2:20" x14ac:dyDescent="0.25">
      <c r="B48" s="12"/>
      <c r="C48" s="13"/>
      <c r="D48" s="13"/>
      <c r="E48" s="41"/>
      <c r="F48" s="15"/>
      <c r="G48" s="15"/>
      <c r="H48" s="15"/>
      <c r="I48" s="15"/>
      <c r="J48" s="15"/>
      <c r="K48" s="15"/>
      <c r="L48" s="16"/>
      <c r="M48" s="20"/>
      <c r="N48" s="18"/>
      <c r="O48" s="18"/>
      <c r="P48" s="18"/>
    </row>
    <row r="49" spans="2:19" x14ac:dyDescent="0.25">
      <c r="B49" s="12"/>
      <c r="C49" s="13"/>
      <c r="D49" s="13"/>
      <c r="E49" s="41"/>
      <c r="F49" s="15"/>
      <c r="G49" s="15"/>
      <c r="H49" s="15"/>
      <c r="I49" s="15"/>
      <c r="J49" s="15"/>
      <c r="K49" s="15"/>
      <c r="L49" s="16"/>
      <c r="M49" s="20"/>
      <c r="N49" s="18"/>
      <c r="O49" s="18"/>
      <c r="P49" s="18"/>
    </row>
    <row r="50" spans="2:19" x14ac:dyDescent="0.25">
      <c r="B50" s="12"/>
      <c r="C50" s="13"/>
      <c r="D50" s="13"/>
      <c r="E50" s="41"/>
      <c r="F50" s="15"/>
      <c r="G50" s="15"/>
      <c r="H50" s="15"/>
      <c r="I50" s="15"/>
      <c r="J50" s="15"/>
      <c r="K50" s="15"/>
      <c r="L50" s="16"/>
      <c r="M50" s="20"/>
      <c r="N50" s="18"/>
      <c r="O50" s="18"/>
      <c r="P50" s="18"/>
      <c r="Q50" s="325" t="s">
        <v>343</v>
      </c>
      <c r="R50" s="325"/>
      <c r="S50" s="329">
        <f>S18</f>
        <v>30443.87</v>
      </c>
    </row>
    <row r="51" spans="2:19" x14ac:dyDescent="0.25">
      <c r="B51" s="12"/>
      <c r="C51" s="13"/>
      <c r="D51" s="13"/>
      <c r="E51" s="41"/>
      <c r="F51" s="15"/>
      <c r="G51" s="15"/>
      <c r="H51" s="15"/>
      <c r="I51" s="15"/>
      <c r="J51" s="15"/>
      <c r="K51" s="15"/>
      <c r="L51" s="16"/>
      <c r="M51" s="20"/>
      <c r="N51" s="18"/>
      <c r="O51" s="18"/>
      <c r="P51" s="18"/>
    </row>
  </sheetData>
  <mergeCells count="6">
    <mergeCell ref="B27:F27"/>
    <mergeCell ref="Q1:S1"/>
    <mergeCell ref="Q2:S2"/>
    <mergeCell ref="B22:F22"/>
    <mergeCell ref="B24:F24"/>
    <mergeCell ref="B26:F26"/>
  </mergeCells>
  <hyperlinks>
    <hyperlink ref="B27" r:id="rId1"/>
  </hyperlinks>
  <printOptions horizontalCentered="1" gridLines="1"/>
  <pageMargins left="0" right="0" top="0.75" bottom="0.75" header="0.3" footer="0.3"/>
  <pageSetup scale="49" orientation="landscape" horizontalDpi="1200" verticalDpi="1200"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1"/>
  <sheetViews>
    <sheetView topLeftCell="C18" zoomScale="90" zoomScaleNormal="90" workbookViewId="0">
      <selection activeCell="S50" sqref="S50"/>
    </sheetView>
  </sheetViews>
  <sheetFormatPr defaultColWidth="9.140625" defaultRowHeight="15" x14ac:dyDescent="0.25"/>
  <cols>
    <col min="1" max="1" width="5.7109375" style="2" hidden="1" customWidth="1"/>
    <col min="2" max="2" width="57.7109375" style="2" customWidth="1"/>
    <col min="3" max="3" width="24.42578125" style="2" bestFit="1" customWidth="1"/>
    <col min="4" max="4" width="13.7109375" style="2" customWidth="1"/>
    <col min="5" max="5" width="17" style="2" bestFit="1" customWidth="1"/>
    <col min="6" max="6" width="21.7109375" style="2" customWidth="1"/>
    <col min="7" max="7" width="10.28515625" style="2" customWidth="1"/>
    <col min="8" max="8" width="12.85546875" style="2" customWidth="1"/>
    <col min="9" max="9" width="13.42578125" style="2" customWidth="1"/>
    <col min="10" max="10" width="15.7109375" style="2" customWidth="1"/>
    <col min="11" max="11" width="8.85546875" style="2" customWidth="1"/>
    <col min="12" max="12" width="18.7109375" style="2" customWidth="1"/>
    <col min="13" max="13" width="13.28515625" style="2" bestFit="1" customWidth="1"/>
    <col min="14" max="14" width="16.140625" style="2" customWidth="1"/>
    <col min="15" max="15" width="14.42578125" style="2" customWidth="1"/>
    <col min="16" max="16" width="3.140625" style="2" customWidth="1"/>
    <col min="17" max="17" width="12" style="2" customWidth="1"/>
    <col min="18" max="18" width="14.140625" style="2" customWidth="1"/>
    <col min="19" max="19" width="16.7109375" style="2" customWidth="1"/>
    <col min="20" max="16384" width="9.140625" style="2"/>
  </cols>
  <sheetData>
    <row r="1" spans="1:20" ht="14.45" customHeight="1" x14ac:dyDescent="0.25">
      <c r="A1" s="2" t="s">
        <v>342</v>
      </c>
      <c r="B1" s="8" t="s">
        <v>202</v>
      </c>
      <c r="Q1" s="335" t="s">
        <v>230</v>
      </c>
      <c r="R1" s="335"/>
      <c r="S1" s="335"/>
    </row>
    <row r="2" spans="1:20" x14ac:dyDescent="0.25">
      <c r="B2" s="90" t="s">
        <v>148</v>
      </c>
      <c r="C2" s="187">
        <v>44377</v>
      </c>
      <c r="M2" s="73"/>
      <c r="N2" s="73"/>
      <c r="P2" s="29"/>
      <c r="Q2" s="334" t="s">
        <v>338</v>
      </c>
      <c r="R2" s="334"/>
      <c r="S2" s="334"/>
    </row>
    <row r="3" spans="1:20" ht="15.75" thickBot="1" x14ac:dyDescent="0.3">
      <c r="A3" s="2" t="s">
        <v>16</v>
      </c>
      <c r="B3" s="44" t="s">
        <v>203</v>
      </c>
      <c r="C3" s="8"/>
      <c r="D3" s="8"/>
      <c r="E3" s="8"/>
      <c r="P3" s="29"/>
      <c r="Q3" s="45"/>
      <c r="R3" s="30"/>
    </row>
    <row r="4" spans="1:20" x14ac:dyDescent="0.25">
      <c r="B4" s="8" t="s">
        <v>211</v>
      </c>
      <c r="M4" s="87" t="s">
        <v>28</v>
      </c>
      <c r="N4" s="87" t="s">
        <v>28</v>
      </c>
      <c r="O4" s="87" t="s">
        <v>28</v>
      </c>
      <c r="P4" s="153"/>
      <c r="Q4" s="91" t="s">
        <v>29</v>
      </c>
      <c r="R4" s="91" t="s">
        <v>31</v>
      </c>
      <c r="S4" s="91" t="s">
        <v>23</v>
      </c>
      <c r="T4" s="7"/>
    </row>
    <row r="5" spans="1:20" ht="15.75" thickBot="1" x14ac:dyDescent="0.3">
      <c r="G5" s="188" t="s">
        <v>231</v>
      </c>
      <c r="H5" s="188" t="s">
        <v>231</v>
      </c>
      <c r="M5" s="88" t="s">
        <v>27</v>
      </c>
      <c r="N5" s="88" t="s">
        <v>26</v>
      </c>
      <c r="O5" s="88" t="s">
        <v>25</v>
      </c>
      <c r="P5" s="153"/>
      <c r="Q5" s="92" t="s">
        <v>30</v>
      </c>
      <c r="R5" s="92" t="s">
        <v>30</v>
      </c>
      <c r="S5" s="92" t="s">
        <v>30</v>
      </c>
      <c r="T5" s="7"/>
    </row>
    <row r="6" spans="1:20" ht="85.5" customHeight="1" thickBot="1" x14ac:dyDescent="0.3">
      <c r="B6" s="86" t="s">
        <v>1</v>
      </c>
      <c r="C6" s="86" t="s">
        <v>127</v>
      </c>
      <c r="D6" s="86" t="s">
        <v>107</v>
      </c>
      <c r="E6" s="86" t="s">
        <v>3</v>
      </c>
      <c r="F6" s="86" t="s">
        <v>4</v>
      </c>
      <c r="G6" s="110" t="s">
        <v>136</v>
      </c>
      <c r="H6" s="110" t="s">
        <v>137</v>
      </c>
      <c r="I6" s="110" t="s">
        <v>133</v>
      </c>
      <c r="J6" s="110" t="s">
        <v>134</v>
      </c>
      <c r="K6" s="110" t="s">
        <v>121</v>
      </c>
      <c r="L6" s="85" t="s">
        <v>5</v>
      </c>
      <c r="M6" s="89" t="s">
        <v>6</v>
      </c>
      <c r="N6" s="89" t="s">
        <v>6</v>
      </c>
      <c r="O6" s="89" t="s">
        <v>6</v>
      </c>
      <c r="P6" s="153"/>
      <c r="Q6" s="93"/>
      <c r="R6" s="99" t="s">
        <v>32</v>
      </c>
      <c r="S6" s="100" t="s">
        <v>33</v>
      </c>
    </row>
    <row r="7" spans="1:20" ht="43.5" customHeight="1" x14ac:dyDescent="0.25">
      <c r="B7" s="2" t="s">
        <v>8</v>
      </c>
      <c r="C7" s="94" t="s">
        <v>106</v>
      </c>
      <c r="D7" s="94" t="s">
        <v>246</v>
      </c>
      <c r="E7" s="2" t="s">
        <v>232</v>
      </c>
      <c r="F7" s="2" t="s">
        <v>7</v>
      </c>
      <c r="G7" s="191">
        <v>2.9600000000000001E-2</v>
      </c>
      <c r="H7" s="191">
        <v>0.1744</v>
      </c>
      <c r="I7" s="192">
        <v>44377</v>
      </c>
      <c r="J7" s="192">
        <v>44378</v>
      </c>
      <c r="K7" s="192">
        <v>44013</v>
      </c>
      <c r="L7" s="193" t="s">
        <v>234</v>
      </c>
      <c r="M7" s="80">
        <v>50721.9</v>
      </c>
      <c r="N7" s="69">
        <f>50779.4-M7</f>
        <v>57.5</v>
      </c>
      <c r="O7" s="69">
        <f>M7+N7</f>
        <v>50779.4</v>
      </c>
      <c r="P7" s="69"/>
      <c r="Q7" s="69">
        <f>10475+1508.77+32156.65</f>
        <v>44140.42</v>
      </c>
      <c r="R7" s="69"/>
      <c r="S7" s="70">
        <f>Q7+R7</f>
        <v>44140.42</v>
      </c>
    </row>
    <row r="8" spans="1:20" ht="30" customHeight="1" x14ac:dyDescent="0.25">
      <c r="B8" s="343" t="s">
        <v>223</v>
      </c>
      <c r="C8" s="243" t="s">
        <v>190</v>
      </c>
      <c r="D8" s="2" t="s">
        <v>191</v>
      </c>
      <c r="E8" s="2" t="s">
        <v>233</v>
      </c>
      <c r="F8" s="2" t="s">
        <v>7</v>
      </c>
      <c r="G8" s="191">
        <v>2.9600000000000001E-2</v>
      </c>
      <c r="H8" s="191">
        <v>0.1744</v>
      </c>
      <c r="I8" s="119">
        <v>44043</v>
      </c>
      <c r="J8" s="192">
        <v>44058</v>
      </c>
      <c r="K8" s="192">
        <v>40756</v>
      </c>
      <c r="L8" s="193" t="s">
        <v>239</v>
      </c>
      <c r="M8" s="80">
        <v>533555</v>
      </c>
      <c r="N8" s="69"/>
      <c r="O8" s="69">
        <f>M8+N8</f>
        <v>533555</v>
      </c>
      <c r="P8" s="69"/>
      <c r="Q8" s="69">
        <v>5693.87</v>
      </c>
      <c r="R8" s="69"/>
      <c r="S8" s="70">
        <f>Q8+R8</f>
        <v>5693.87</v>
      </c>
    </row>
    <row r="9" spans="1:20" x14ac:dyDescent="0.25">
      <c r="B9" s="343"/>
      <c r="C9" s="253"/>
      <c r="G9" s="126"/>
      <c r="H9" s="126"/>
      <c r="I9" s="119"/>
      <c r="J9" s="119"/>
      <c r="K9" s="119"/>
      <c r="M9" s="80"/>
      <c r="N9" s="69"/>
      <c r="O9" s="69"/>
      <c r="P9" s="69"/>
      <c r="Q9" s="69"/>
      <c r="R9" s="69"/>
      <c r="S9" s="70"/>
    </row>
    <row r="10" spans="1:20" ht="36.75" customHeight="1" x14ac:dyDescent="0.25">
      <c r="B10" s="286" t="s">
        <v>128</v>
      </c>
      <c r="C10" s="243" t="s">
        <v>122</v>
      </c>
      <c r="D10" s="95" t="s">
        <v>248</v>
      </c>
      <c r="E10" s="2" t="s">
        <v>233</v>
      </c>
      <c r="F10" s="2" t="s">
        <v>7</v>
      </c>
      <c r="G10" s="191">
        <v>2.9600000000000001E-2</v>
      </c>
      <c r="H10" s="191">
        <v>0.1744</v>
      </c>
      <c r="I10" s="192">
        <v>44377</v>
      </c>
      <c r="J10" s="192">
        <v>44378</v>
      </c>
      <c r="K10" s="192">
        <v>44013</v>
      </c>
      <c r="L10" s="193" t="s">
        <v>234</v>
      </c>
      <c r="M10" s="80">
        <v>1826.21</v>
      </c>
      <c r="N10" s="69">
        <f>8719.83</f>
        <v>8719.83</v>
      </c>
      <c r="O10" s="69">
        <f>M10+N10</f>
        <v>10546.04</v>
      </c>
      <c r="P10" s="69"/>
      <c r="Q10" s="69">
        <f>1826.21+8719.83</f>
        <v>10546.04</v>
      </c>
      <c r="R10" s="69"/>
      <c r="S10" s="70">
        <f>Q10+R10</f>
        <v>10546.04</v>
      </c>
    </row>
    <row r="11" spans="1:20" ht="34.5" customHeight="1" x14ac:dyDescent="0.25">
      <c r="B11" s="2" t="s">
        <v>241</v>
      </c>
      <c r="C11" s="243" t="s">
        <v>242</v>
      </c>
      <c r="D11" s="95" t="s">
        <v>243</v>
      </c>
      <c r="E11" s="2" t="s">
        <v>244</v>
      </c>
      <c r="F11" s="2" t="s">
        <v>7</v>
      </c>
      <c r="G11" s="191">
        <v>2.9600000000000001E-2</v>
      </c>
      <c r="H11" s="191">
        <v>0.1744</v>
      </c>
      <c r="I11" s="192">
        <v>44834</v>
      </c>
      <c r="J11" s="192">
        <v>44849</v>
      </c>
      <c r="K11" s="192">
        <v>43614</v>
      </c>
      <c r="L11" s="193" t="s">
        <v>311</v>
      </c>
      <c r="M11" s="80">
        <v>12308.03</v>
      </c>
      <c r="N11" s="69"/>
      <c r="O11" s="69">
        <f>M11+N11</f>
        <v>12308.03</v>
      </c>
      <c r="P11" s="69"/>
      <c r="Q11" s="69"/>
      <c r="R11" s="69"/>
      <c r="S11" s="70">
        <f>Q11+R11</f>
        <v>0</v>
      </c>
    </row>
    <row r="12" spans="1:20" ht="34.5" customHeight="1" x14ac:dyDescent="0.25">
      <c r="B12" s="2" t="s">
        <v>283</v>
      </c>
      <c r="C12" s="243" t="s">
        <v>264</v>
      </c>
      <c r="D12" s="95" t="s">
        <v>254</v>
      </c>
      <c r="E12" s="2" t="s">
        <v>284</v>
      </c>
      <c r="F12" s="2" t="s">
        <v>7</v>
      </c>
      <c r="G12" s="191">
        <f t="shared" ref="G12:H12" si="0">+G11</f>
        <v>2.9600000000000001E-2</v>
      </c>
      <c r="H12" s="191">
        <f t="shared" si="0"/>
        <v>0.1744</v>
      </c>
      <c r="I12" s="192">
        <v>44377</v>
      </c>
      <c r="J12" s="192">
        <v>44392</v>
      </c>
      <c r="K12" s="192">
        <v>43613</v>
      </c>
      <c r="L12" s="193" t="s">
        <v>234</v>
      </c>
      <c r="M12" s="81">
        <v>7302.48</v>
      </c>
      <c r="N12" s="69"/>
      <c r="O12" s="69">
        <f>M12+N12</f>
        <v>7302.48</v>
      </c>
      <c r="P12" s="69"/>
      <c r="Q12" s="69"/>
      <c r="R12" s="69"/>
      <c r="S12" s="70">
        <f>Q12+R12</f>
        <v>0</v>
      </c>
    </row>
    <row r="13" spans="1:20" ht="39" customHeight="1" x14ac:dyDescent="0.25">
      <c r="B13" s="343" t="s">
        <v>263</v>
      </c>
      <c r="C13" s="243" t="s">
        <v>264</v>
      </c>
      <c r="D13" s="95" t="s">
        <v>254</v>
      </c>
      <c r="E13" s="2" t="s">
        <v>265</v>
      </c>
      <c r="F13" s="2" t="s">
        <v>7</v>
      </c>
      <c r="G13" s="191">
        <f t="shared" ref="G13:H13" si="1">+G12</f>
        <v>2.9600000000000001E-2</v>
      </c>
      <c r="H13" s="191">
        <f t="shared" si="1"/>
        <v>0.1744</v>
      </c>
      <c r="I13" s="192">
        <v>44834</v>
      </c>
      <c r="J13" s="192">
        <v>44849</v>
      </c>
      <c r="K13" s="192">
        <v>43613</v>
      </c>
      <c r="L13" s="193" t="s">
        <v>335</v>
      </c>
      <c r="M13" s="67">
        <v>10000</v>
      </c>
      <c r="N13" s="69"/>
      <c r="O13" s="69">
        <f>M13+N13</f>
        <v>10000</v>
      </c>
      <c r="P13" s="69"/>
      <c r="Q13" s="69"/>
      <c r="R13" s="69"/>
      <c r="S13" s="70">
        <f>Q13+R13</f>
        <v>0</v>
      </c>
    </row>
    <row r="14" spans="1:20" ht="34.5" hidden="1" customHeight="1" x14ac:dyDescent="0.25">
      <c r="B14" s="343"/>
      <c r="C14" s="243"/>
      <c r="D14" s="95"/>
      <c r="G14" s="191"/>
      <c r="H14" s="191"/>
      <c r="I14" s="192"/>
      <c r="J14" s="192"/>
      <c r="K14" s="192"/>
      <c r="L14" s="193"/>
      <c r="M14" s="67"/>
      <c r="N14" s="69"/>
      <c r="O14" s="69"/>
      <c r="P14" s="69"/>
      <c r="Q14" s="69"/>
      <c r="R14" s="69"/>
      <c r="S14" s="70"/>
    </row>
    <row r="15" spans="1:20" ht="15" hidden="1" customHeight="1" x14ac:dyDescent="0.25">
      <c r="B15" s="291"/>
      <c r="C15" s="280"/>
      <c r="G15" s="126"/>
      <c r="H15" s="126"/>
      <c r="I15" s="119"/>
      <c r="J15" s="119"/>
      <c r="K15" s="119"/>
      <c r="M15" s="80"/>
      <c r="N15" s="69"/>
      <c r="O15" s="69"/>
      <c r="P15" s="69"/>
      <c r="Q15" s="69"/>
      <c r="R15" s="69"/>
      <c r="S15" s="70"/>
    </row>
    <row r="16" spans="1:20" ht="30.75" customHeight="1" x14ac:dyDescent="0.25">
      <c r="B16" s="2" t="s">
        <v>318</v>
      </c>
      <c r="C16" s="243" t="s">
        <v>242</v>
      </c>
      <c r="D16" s="95" t="s">
        <v>243</v>
      </c>
      <c r="E16" s="2" t="s">
        <v>319</v>
      </c>
      <c r="F16" s="2" t="s">
        <v>7</v>
      </c>
      <c r="G16" s="191">
        <v>2.9600000000000001E-2</v>
      </c>
      <c r="H16" s="191">
        <v>0.1744</v>
      </c>
      <c r="I16" s="192">
        <v>44561</v>
      </c>
      <c r="J16" s="192">
        <v>44576</v>
      </c>
      <c r="K16" s="192">
        <v>43980</v>
      </c>
      <c r="L16" s="193" t="s">
        <v>320</v>
      </c>
      <c r="M16" s="81">
        <v>3000</v>
      </c>
      <c r="N16" s="69"/>
      <c r="O16" s="69">
        <f t="shared" ref="O16:O18" si="2">M16+N16</f>
        <v>3000</v>
      </c>
      <c r="P16" s="68"/>
      <c r="Q16" s="69"/>
      <c r="R16" s="69"/>
      <c r="S16" s="70">
        <f t="shared" ref="S16:S18" si="3">Q16+R16</f>
        <v>0</v>
      </c>
    </row>
    <row r="17" spans="2:19" ht="30.75" customHeight="1" x14ac:dyDescent="0.25">
      <c r="B17" s="2" t="s">
        <v>321</v>
      </c>
      <c r="C17" s="243" t="s">
        <v>264</v>
      </c>
      <c r="D17" s="95" t="s">
        <v>254</v>
      </c>
      <c r="E17" s="2" t="s">
        <v>322</v>
      </c>
      <c r="F17" s="2" t="s">
        <v>7</v>
      </c>
      <c r="G17" s="191">
        <v>2.9600000000000001E-2</v>
      </c>
      <c r="H17" s="191">
        <v>0.1744</v>
      </c>
      <c r="I17" s="192">
        <v>44742</v>
      </c>
      <c r="J17" s="192">
        <v>44757</v>
      </c>
      <c r="K17" s="192">
        <v>43979</v>
      </c>
      <c r="L17" s="193" t="s">
        <v>323</v>
      </c>
      <c r="M17" s="81">
        <v>1027</v>
      </c>
      <c r="N17" s="69"/>
      <c r="O17" s="69">
        <f t="shared" si="2"/>
        <v>1027</v>
      </c>
      <c r="P17" s="68"/>
      <c r="Q17" s="69"/>
      <c r="R17" s="69"/>
      <c r="S17" s="70">
        <f t="shared" si="3"/>
        <v>0</v>
      </c>
    </row>
    <row r="18" spans="2:19" ht="30.75" customHeight="1" x14ac:dyDescent="0.25">
      <c r="B18" s="2" t="s">
        <v>327</v>
      </c>
      <c r="C18" s="243" t="s">
        <v>242</v>
      </c>
      <c r="D18" s="95" t="s">
        <v>328</v>
      </c>
      <c r="E18" s="2" t="s">
        <v>329</v>
      </c>
      <c r="F18" s="2" t="s">
        <v>7</v>
      </c>
      <c r="G18" s="191">
        <v>2.9600000000000001E-2</v>
      </c>
      <c r="H18" s="191">
        <v>0.1744</v>
      </c>
      <c r="I18" s="192">
        <v>44440</v>
      </c>
      <c r="J18" s="192">
        <v>44440</v>
      </c>
      <c r="K18" s="192">
        <v>44201</v>
      </c>
      <c r="L18" s="193" t="s">
        <v>330</v>
      </c>
      <c r="M18" s="81">
        <v>60834.22</v>
      </c>
      <c r="N18" s="69"/>
      <c r="O18" s="69">
        <f t="shared" si="2"/>
        <v>60834.22</v>
      </c>
      <c r="P18" s="68"/>
      <c r="Q18" s="69"/>
      <c r="R18" s="69"/>
      <c r="S18" s="70">
        <f t="shared" si="3"/>
        <v>0</v>
      </c>
    </row>
    <row r="19" spans="2:19" ht="15" customHeight="1" x14ac:dyDescent="0.25">
      <c r="B19" s="291"/>
      <c r="C19" s="291"/>
      <c r="G19" s="126"/>
      <c r="H19" s="126"/>
      <c r="I19" s="119"/>
      <c r="J19" s="119"/>
      <c r="K19" s="119"/>
      <c r="M19" s="80"/>
      <c r="N19" s="69"/>
      <c r="O19" s="69"/>
      <c r="P19" s="69"/>
      <c r="Q19" s="69"/>
      <c r="R19" s="69"/>
      <c r="S19" s="70"/>
    </row>
    <row r="20" spans="2:19" ht="23.25" customHeight="1" x14ac:dyDescent="0.25">
      <c r="C20" s="95"/>
      <c r="D20" s="95"/>
      <c r="G20" s="126"/>
      <c r="H20" s="126"/>
      <c r="I20" s="119"/>
      <c r="J20" s="119"/>
      <c r="K20" s="119" t="s">
        <v>100</v>
      </c>
      <c r="L20" s="21" t="s">
        <v>38</v>
      </c>
      <c r="M20" s="284">
        <f>SUM(M7:M19)</f>
        <v>680574.84</v>
      </c>
      <c r="N20" s="284">
        <f>SUM(N7:N19)</f>
        <v>8777.33</v>
      </c>
      <c r="O20" s="284">
        <f>SUM(O7:O19)</f>
        <v>689352.17</v>
      </c>
      <c r="P20" s="68"/>
      <c r="Q20" s="284">
        <f>SUM(Q7:Q19)</f>
        <v>60380.33</v>
      </c>
      <c r="R20" s="284">
        <f>SUM(R7:R19)</f>
        <v>0</v>
      </c>
      <c r="S20" s="23">
        <f>SUM(S7:S19)</f>
        <v>60380.33</v>
      </c>
    </row>
    <row r="21" spans="2:19" x14ac:dyDescent="0.25">
      <c r="C21" s="95"/>
      <c r="D21" s="95"/>
      <c r="G21" s="126"/>
      <c r="H21" s="126"/>
      <c r="I21" s="119"/>
      <c r="J21" s="119"/>
      <c r="K21" s="119"/>
      <c r="L21" s="21"/>
      <c r="M21" s="68"/>
      <c r="N21" s="68"/>
      <c r="O21" s="68"/>
      <c r="P21" s="68"/>
      <c r="Q21" s="68"/>
      <c r="R21" s="68"/>
      <c r="S21" s="70"/>
    </row>
    <row r="22" spans="2:19" x14ac:dyDescent="0.25">
      <c r="C22" s="95"/>
      <c r="D22" s="95"/>
      <c r="G22" s="126"/>
      <c r="H22" s="126"/>
      <c r="I22" s="119"/>
      <c r="J22" s="119"/>
      <c r="K22" s="119"/>
      <c r="L22" s="21"/>
      <c r="M22" s="68"/>
      <c r="N22" s="68"/>
      <c r="O22" s="68"/>
      <c r="P22" s="68"/>
      <c r="Q22" s="68"/>
      <c r="R22" s="68"/>
      <c r="S22" s="70"/>
    </row>
    <row r="23" spans="2:19" x14ac:dyDescent="0.25">
      <c r="B23" s="8" t="s">
        <v>125</v>
      </c>
      <c r="C23" s="94"/>
      <c r="D23" s="94"/>
      <c r="S23" s="27"/>
    </row>
    <row r="24" spans="2:19" ht="33.75" customHeight="1" x14ac:dyDescent="0.25">
      <c r="B24" s="338" t="s">
        <v>126</v>
      </c>
      <c r="C24" s="338"/>
      <c r="D24" s="338"/>
      <c r="E24" s="338"/>
      <c r="F24" s="338"/>
      <c r="S24" s="27"/>
    </row>
    <row r="25" spans="2:19" x14ac:dyDescent="0.25">
      <c r="C25" s="94"/>
      <c r="D25" s="94"/>
      <c r="S25" s="27"/>
    </row>
    <row r="26" spans="2:19" ht="50.25" customHeight="1" x14ac:dyDescent="0.25">
      <c r="B26" s="338" t="s">
        <v>129</v>
      </c>
      <c r="C26" s="338"/>
      <c r="D26" s="338"/>
      <c r="E26" s="338"/>
      <c r="F26" s="338"/>
      <c r="S26" s="27"/>
    </row>
    <row r="27" spans="2:19" x14ac:dyDescent="0.25">
      <c r="B27" s="244"/>
      <c r="C27" s="244"/>
      <c r="D27" s="244"/>
      <c r="E27" s="244"/>
      <c r="S27" s="27"/>
    </row>
    <row r="28" spans="2:19" ht="32.25" customHeight="1" x14ac:dyDescent="0.25">
      <c r="B28" s="338" t="s">
        <v>160</v>
      </c>
      <c r="C28" s="338"/>
      <c r="D28" s="338"/>
      <c r="E28" s="338"/>
      <c r="F28" s="338"/>
      <c r="S28" s="27"/>
    </row>
    <row r="29" spans="2:19" ht="15" customHeight="1" x14ac:dyDescent="0.25">
      <c r="B29" s="346" t="s">
        <v>159</v>
      </c>
      <c r="C29" s="338"/>
      <c r="D29" s="338"/>
      <c r="E29" s="338"/>
      <c r="F29" s="338"/>
      <c r="S29" s="27"/>
    </row>
    <row r="30" spans="2:19" ht="15" customHeight="1" x14ac:dyDescent="0.25">
      <c r="B30" s="244"/>
      <c r="C30" s="244"/>
      <c r="D30" s="244"/>
      <c r="E30" s="244"/>
      <c r="S30" s="27"/>
    </row>
    <row r="31" spans="2:19" x14ac:dyDescent="0.25">
      <c r="B31" s="7" t="s">
        <v>109</v>
      </c>
      <c r="C31" s="104" t="s">
        <v>112</v>
      </c>
      <c r="D31" s="104" t="s">
        <v>113</v>
      </c>
      <c r="E31" s="244"/>
      <c r="S31" s="27"/>
    </row>
    <row r="32" spans="2:19" x14ac:dyDescent="0.25">
      <c r="B32" s="2" t="s">
        <v>175</v>
      </c>
      <c r="C32" s="94" t="s">
        <v>135</v>
      </c>
      <c r="D32" s="94" t="s">
        <v>147</v>
      </c>
      <c r="E32" s="252"/>
      <c r="S32" s="27"/>
    </row>
    <row r="33" spans="2:20" x14ac:dyDescent="0.25">
      <c r="B33" s="2" t="s">
        <v>252</v>
      </c>
      <c r="C33" s="94" t="s">
        <v>135</v>
      </c>
      <c r="D33" s="94" t="s">
        <v>147</v>
      </c>
      <c r="E33" s="252"/>
      <c r="S33" s="27"/>
    </row>
    <row r="34" spans="2:20" x14ac:dyDescent="0.25">
      <c r="B34" s="2" t="s">
        <v>260</v>
      </c>
      <c r="C34" s="94" t="s">
        <v>135</v>
      </c>
      <c r="D34" s="94" t="s">
        <v>147</v>
      </c>
      <c r="E34" s="289"/>
      <c r="S34" s="27"/>
    </row>
    <row r="35" spans="2:20" x14ac:dyDescent="0.25">
      <c r="B35" s="2" t="s">
        <v>261</v>
      </c>
      <c r="C35" s="94" t="s">
        <v>179</v>
      </c>
      <c r="D35" s="94" t="s">
        <v>262</v>
      </c>
      <c r="E35" s="290"/>
      <c r="S35" s="27"/>
    </row>
    <row r="36" spans="2:20" x14ac:dyDescent="0.25">
      <c r="B36" s="2" t="s">
        <v>318</v>
      </c>
      <c r="C36" s="94" t="s">
        <v>135</v>
      </c>
      <c r="D36" s="94" t="s">
        <v>147</v>
      </c>
      <c r="E36" s="314"/>
      <c r="S36" s="27"/>
    </row>
    <row r="37" spans="2:20" x14ac:dyDescent="0.25">
      <c r="B37" s="2" t="s">
        <v>321</v>
      </c>
      <c r="C37" s="94" t="s">
        <v>135</v>
      </c>
      <c r="D37" s="94" t="s">
        <v>147</v>
      </c>
      <c r="E37" s="318"/>
      <c r="S37" s="27"/>
    </row>
    <row r="38" spans="2:20" x14ac:dyDescent="0.25">
      <c r="B38" s="2" t="s">
        <v>326</v>
      </c>
      <c r="C38" s="94" t="s">
        <v>135</v>
      </c>
      <c r="D38" s="94" t="s">
        <v>147</v>
      </c>
      <c r="E38" s="323"/>
      <c r="S38" s="27"/>
    </row>
    <row r="39" spans="2:20" x14ac:dyDescent="0.25">
      <c r="C39" s="94"/>
      <c r="D39" s="94"/>
      <c r="E39" s="279"/>
      <c r="S39" s="27"/>
    </row>
    <row r="40" spans="2:20" x14ac:dyDescent="0.25">
      <c r="B40" s="269" t="s">
        <v>235</v>
      </c>
      <c r="C40" s="95"/>
      <c r="D40" s="95"/>
      <c r="S40" s="27"/>
    </row>
    <row r="41" spans="2:20" x14ac:dyDescent="0.25">
      <c r="B41" s="333" t="s">
        <v>236</v>
      </c>
      <c r="C41" s="333"/>
      <c r="D41" s="333"/>
      <c r="E41" s="333"/>
      <c r="F41" s="333"/>
      <c r="G41" s="333"/>
      <c r="H41" s="333"/>
      <c r="S41" s="27"/>
    </row>
    <row r="42" spans="2:20" x14ac:dyDescent="0.25">
      <c r="B42" s="225"/>
      <c r="C42" s="96"/>
      <c r="D42" s="96"/>
      <c r="E42" s="10"/>
      <c r="F42" s="10"/>
      <c r="G42" s="10"/>
      <c r="H42" s="10"/>
      <c r="I42" s="10"/>
      <c r="J42" s="10"/>
      <c r="K42" s="10"/>
      <c r="L42" s="10"/>
      <c r="M42" s="10"/>
      <c r="N42" s="10"/>
      <c r="O42" s="10"/>
      <c r="P42" s="10"/>
      <c r="Q42" s="10"/>
      <c r="R42" s="10"/>
      <c r="S42" s="28"/>
    </row>
    <row r="43" spans="2:20" x14ac:dyDescent="0.25">
      <c r="B43" s="197"/>
      <c r="C43" s="95"/>
      <c r="D43" s="95"/>
      <c r="Q43" s="59" t="s">
        <v>90</v>
      </c>
      <c r="R43" s="50"/>
      <c r="S43" s="170"/>
    </row>
    <row r="44" spans="2:20" ht="15" customHeight="1" x14ac:dyDescent="0.25">
      <c r="B44" s="17" t="s">
        <v>39</v>
      </c>
      <c r="C44" s="246" t="s">
        <v>2</v>
      </c>
      <c r="D44" s="246"/>
      <c r="E44" s="246" t="s">
        <v>34</v>
      </c>
      <c r="F44" s="246" t="s">
        <v>35</v>
      </c>
      <c r="G44" s="246"/>
      <c r="H44" s="246"/>
      <c r="I44" s="246"/>
      <c r="J44" s="246"/>
      <c r="K44" s="246"/>
      <c r="L44" s="246" t="s">
        <v>36</v>
      </c>
      <c r="M44" s="246" t="s">
        <v>37</v>
      </c>
      <c r="N44" s="47"/>
      <c r="O44" s="47"/>
      <c r="P44" s="47"/>
      <c r="Q44" s="54" t="s">
        <v>88</v>
      </c>
      <c r="R44" s="52"/>
      <c r="S44" s="53"/>
      <c r="T44" s="51"/>
    </row>
    <row r="45" spans="2:20" ht="15" customHeight="1" x14ac:dyDescent="0.25">
      <c r="B45" s="65"/>
      <c r="C45" s="153"/>
      <c r="D45" s="153"/>
      <c r="E45" s="153"/>
      <c r="F45" s="153"/>
      <c r="G45" s="153"/>
      <c r="H45" s="153"/>
      <c r="I45" s="153"/>
      <c r="J45" s="153"/>
      <c r="K45" s="153"/>
      <c r="L45" s="153"/>
      <c r="M45" s="153"/>
      <c r="N45" s="45"/>
      <c r="O45" s="45"/>
      <c r="P45" s="45"/>
      <c r="T45" s="51"/>
    </row>
    <row r="46" spans="2:20" ht="15" customHeight="1" x14ac:dyDescent="0.25">
      <c r="B46" s="65"/>
      <c r="C46" s="153"/>
      <c r="D46" s="153"/>
      <c r="E46" s="153"/>
      <c r="F46" s="153"/>
      <c r="G46" s="153"/>
      <c r="H46" s="153"/>
      <c r="I46" s="153"/>
      <c r="J46" s="153"/>
      <c r="K46" s="153"/>
      <c r="L46" s="153"/>
      <c r="M46" s="153"/>
      <c r="N46" s="45"/>
      <c r="O46" s="45"/>
      <c r="P46" s="45"/>
      <c r="Q46" s="59"/>
      <c r="R46" s="50"/>
      <c r="S46" s="50"/>
      <c r="T46" s="51"/>
    </row>
    <row r="47" spans="2:20" x14ac:dyDescent="0.25">
      <c r="B47" s="11"/>
      <c r="C47" s="153"/>
      <c r="D47" s="153"/>
      <c r="E47" s="153"/>
      <c r="R47" s="51"/>
      <c r="S47" s="51"/>
      <c r="T47" s="51"/>
    </row>
    <row r="48" spans="2:20" x14ac:dyDescent="0.25">
      <c r="B48" s="12"/>
      <c r="C48" s="13"/>
      <c r="D48" s="13"/>
      <c r="E48" s="41"/>
      <c r="F48" s="15"/>
      <c r="G48" s="15"/>
      <c r="H48" s="15"/>
      <c r="I48" s="15"/>
      <c r="J48" s="15"/>
      <c r="K48" s="15"/>
      <c r="L48" s="16"/>
      <c r="M48" s="20"/>
      <c r="N48" s="18"/>
      <c r="O48" s="18"/>
      <c r="P48" s="18"/>
    </row>
    <row r="49" spans="2:19" x14ac:dyDescent="0.25">
      <c r="B49" s="12"/>
      <c r="C49" s="13"/>
      <c r="D49" s="13"/>
      <c r="E49" s="41"/>
      <c r="F49" s="15"/>
      <c r="G49" s="15"/>
      <c r="H49" s="15"/>
      <c r="I49" s="15"/>
      <c r="J49" s="15"/>
      <c r="K49" s="15"/>
      <c r="L49" s="16"/>
      <c r="M49" s="20"/>
      <c r="N49" s="18"/>
      <c r="O49" s="18"/>
      <c r="P49" s="18"/>
    </row>
    <row r="50" spans="2:19" x14ac:dyDescent="0.25">
      <c r="B50" s="12"/>
      <c r="C50" s="13"/>
      <c r="D50" s="13"/>
      <c r="E50" s="41"/>
      <c r="F50" s="15"/>
      <c r="G50" s="15"/>
      <c r="H50" s="15"/>
      <c r="I50" s="15"/>
      <c r="J50" s="15"/>
      <c r="K50" s="15"/>
      <c r="L50" s="16"/>
      <c r="M50" s="20"/>
      <c r="N50" s="18"/>
      <c r="O50" s="18"/>
      <c r="P50" s="18"/>
      <c r="Q50" s="325" t="s">
        <v>343</v>
      </c>
      <c r="R50" s="325"/>
      <c r="S50" s="326">
        <f>S20</f>
        <v>60380.33</v>
      </c>
    </row>
    <row r="51" spans="2:19" x14ac:dyDescent="0.25">
      <c r="B51" s="12"/>
      <c r="C51" s="13"/>
      <c r="D51" s="13"/>
      <c r="E51" s="41"/>
      <c r="F51" s="15"/>
      <c r="G51" s="15"/>
      <c r="H51" s="15"/>
      <c r="I51" s="15"/>
      <c r="J51" s="15"/>
      <c r="K51" s="15"/>
      <c r="L51" s="16"/>
      <c r="M51" s="20"/>
      <c r="N51" s="18"/>
      <c r="O51" s="18"/>
      <c r="P51" s="18"/>
    </row>
  </sheetData>
  <mergeCells count="9">
    <mergeCell ref="B29:F29"/>
    <mergeCell ref="B41:H41"/>
    <mergeCell ref="Q1:S1"/>
    <mergeCell ref="Q2:S2"/>
    <mergeCell ref="B24:F24"/>
    <mergeCell ref="B26:F26"/>
    <mergeCell ref="B28:F28"/>
    <mergeCell ref="B8:B9"/>
    <mergeCell ref="B13:B14"/>
  </mergeCells>
  <hyperlinks>
    <hyperlink ref="B29" r:id="rId1"/>
  </hyperlinks>
  <printOptions horizontalCentered="1" gridLines="1"/>
  <pageMargins left="0" right="0" top="0.75" bottom="0.75" header="0.3" footer="0.3"/>
  <pageSetup scale="49" orientation="landscape" horizontalDpi="1200" verticalDpi="1200"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5"/>
  <sheetViews>
    <sheetView topLeftCell="B1" zoomScale="90" zoomScaleNormal="90" workbookViewId="0">
      <selection activeCell="Q3" sqref="Q3"/>
    </sheetView>
  </sheetViews>
  <sheetFormatPr defaultColWidth="9.140625" defaultRowHeight="15" x14ac:dyDescent="0.25"/>
  <cols>
    <col min="1" max="1" width="5.7109375" style="2" hidden="1" customWidth="1"/>
    <col min="2" max="2" width="53.28515625" style="2" customWidth="1"/>
    <col min="3" max="3" width="24.42578125" style="2" bestFit="1" customWidth="1"/>
    <col min="4" max="4" width="13.7109375" style="2" customWidth="1"/>
    <col min="5" max="5" width="17" style="2" bestFit="1" customWidth="1"/>
    <col min="6" max="6" width="21.7109375" style="2" customWidth="1"/>
    <col min="7" max="7" width="8.5703125" style="2" customWidth="1"/>
    <col min="8" max="8" width="16.42578125" style="2" customWidth="1"/>
    <col min="9" max="9" width="10.85546875" style="2" customWidth="1"/>
    <col min="10" max="10" width="10" style="2" customWidth="1"/>
    <col min="11" max="11" width="10.28515625" style="2" customWidth="1"/>
    <col min="12" max="12" width="18.7109375" style="2" customWidth="1"/>
    <col min="13" max="13" width="13.28515625" style="2" bestFit="1" customWidth="1"/>
    <col min="14" max="14" width="16.140625" style="2" customWidth="1"/>
    <col min="15" max="15" width="14.42578125" style="2" customWidth="1"/>
    <col min="16" max="16" width="3.140625" style="2" customWidth="1"/>
    <col min="17" max="17" width="12" style="2" customWidth="1"/>
    <col min="18" max="18" width="14.140625" style="2" customWidth="1"/>
    <col min="19" max="19" width="16.7109375" style="2" customWidth="1"/>
    <col min="20" max="16384" width="9.140625" style="2"/>
  </cols>
  <sheetData>
    <row r="1" spans="1:20" ht="14.45" customHeight="1" x14ac:dyDescent="0.25">
      <c r="B1" s="8" t="s">
        <v>206</v>
      </c>
      <c r="Q1" s="335" t="s">
        <v>197</v>
      </c>
      <c r="R1" s="335"/>
      <c r="S1" s="335"/>
    </row>
    <row r="2" spans="1:20" x14ac:dyDescent="0.25">
      <c r="B2" s="90" t="s">
        <v>148</v>
      </c>
      <c r="C2" s="187">
        <v>43738</v>
      </c>
      <c r="M2" s="73"/>
      <c r="N2" s="73"/>
      <c r="P2" s="29"/>
      <c r="Q2" s="334" t="s">
        <v>213</v>
      </c>
      <c r="R2" s="334"/>
      <c r="S2" s="334"/>
    </row>
    <row r="3" spans="1:20" ht="15.75" thickBot="1" x14ac:dyDescent="0.3">
      <c r="A3" s="2" t="s">
        <v>16</v>
      </c>
      <c r="B3" s="44" t="s">
        <v>207</v>
      </c>
      <c r="C3" s="8"/>
      <c r="D3" s="8"/>
      <c r="E3" s="8"/>
      <c r="P3" s="29"/>
      <c r="Q3" s="45"/>
      <c r="R3" s="30"/>
    </row>
    <row r="4" spans="1:20" x14ac:dyDescent="0.25">
      <c r="B4" s="8" t="s">
        <v>212</v>
      </c>
      <c r="M4" s="87" t="s">
        <v>28</v>
      </c>
      <c r="N4" s="87" t="s">
        <v>28</v>
      </c>
      <c r="O4" s="87" t="s">
        <v>28</v>
      </c>
      <c r="P4" s="153"/>
      <c r="Q4" s="91" t="s">
        <v>29</v>
      </c>
      <c r="R4" s="91" t="s">
        <v>31</v>
      </c>
      <c r="S4" s="91" t="s">
        <v>23</v>
      </c>
      <c r="T4" s="7"/>
    </row>
    <row r="5" spans="1:20" ht="15.75" thickBot="1" x14ac:dyDescent="0.3">
      <c r="G5" s="188" t="s">
        <v>196</v>
      </c>
      <c r="H5" s="188" t="s">
        <v>196</v>
      </c>
      <c r="M5" s="88" t="s">
        <v>27</v>
      </c>
      <c r="N5" s="88" t="s">
        <v>26</v>
      </c>
      <c r="O5" s="88" t="s">
        <v>25</v>
      </c>
      <c r="P5" s="153"/>
      <c r="Q5" s="92" t="s">
        <v>30</v>
      </c>
      <c r="R5" s="92" t="s">
        <v>30</v>
      </c>
      <c r="S5" s="92" t="s">
        <v>30</v>
      </c>
      <c r="T5" s="7"/>
    </row>
    <row r="6" spans="1:20" ht="85.5" customHeight="1" thickBot="1" x14ac:dyDescent="0.3">
      <c r="B6" s="86" t="s">
        <v>1</v>
      </c>
      <c r="C6" s="86" t="s">
        <v>127</v>
      </c>
      <c r="D6" s="86" t="s">
        <v>107</v>
      </c>
      <c r="E6" s="86" t="s">
        <v>3</v>
      </c>
      <c r="F6" s="86" t="s">
        <v>4</v>
      </c>
      <c r="G6" s="110" t="s">
        <v>136</v>
      </c>
      <c r="H6" s="110" t="s">
        <v>137</v>
      </c>
      <c r="I6" s="110" t="s">
        <v>133</v>
      </c>
      <c r="J6" s="110" t="s">
        <v>134</v>
      </c>
      <c r="K6" s="110" t="s">
        <v>121</v>
      </c>
      <c r="L6" s="85" t="s">
        <v>5</v>
      </c>
      <c r="M6" s="89" t="s">
        <v>6</v>
      </c>
      <c r="N6" s="89" t="s">
        <v>6</v>
      </c>
      <c r="O6" s="89" t="s">
        <v>6</v>
      </c>
      <c r="P6" s="153"/>
      <c r="Q6" s="93"/>
      <c r="R6" s="99" t="s">
        <v>32</v>
      </c>
      <c r="S6" s="100" t="s">
        <v>33</v>
      </c>
    </row>
    <row r="7" spans="1:20" hidden="1" x14ac:dyDescent="0.25">
      <c r="B7" s="245"/>
      <c r="C7" s="113"/>
      <c r="D7" s="94"/>
      <c r="F7" s="2" t="s">
        <v>7</v>
      </c>
      <c r="G7" s="191">
        <v>2.7699999999999999E-2</v>
      </c>
      <c r="H7" s="191">
        <v>0.15060000000000001</v>
      </c>
      <c r="I7" s="192">
        <v>43646</v>
      </c>
      <c r="J7" s="192">
        <v>43647</v>
      </c>
      <c r="K7" s="192">
        <v>43282</v>
      </c>
      <c r="L7" s="193" t="s">
        <v>157</v>
      </c>
      <c r="M7" s="80"/>
      <c r="N7" s="69"/>
      <c r="O7" s="69"/>
      <c r="P7" s="69"/>
      <c r="Q7" s="69"/>
      <c r="R7" s="69"/>
      <c r="S7" s="70"/>
    </row>
    <row r="8" spans="1:20" ht="30" customHeight="1" x14ac:dyDescent="0.25">
      <c r="B8" s="245"/>
      <c r="C8" s="243"/>
      <c r="D8" s="94"/>
      <c r="G8" s="191"/>
      <c r="H8" s="191"/>
      <c r="I8" s="192"/>
      <c r="J8" s="192"/>
      <c r="K8" s="192"/>
      <c r="L8" s="193"/>
      <c r="M8" s="80"/>
      <c r="N8" s="69"/>
      <c r="O8" s="69">
        <f>M8+N8</f>
        <v>0</v>
      </c>
      <c r="P8" s="69"/>
      <c r="Q8" s="69"/>
      <c r="R8" s="69"/>
      <c r="S8" s="70">
        <f>Q8+R8</f>
        <v>0</v>
      </c>
    </row>
    <row r="9" spans="1:20" x14ac:dyDescent="0.25">
      <c r="G9" s="126"/>
      <c r="H9" s="126"/>
      <c r="I9" s="119"/>
      <c r="J9" s="119"/>
      <c r="K9" s="119"/>
      <c r="M9" s="24"/>
      <c r="N9" s="25"/>
      <c r="O9" s="25"/>
      <c r="P9" s="69"/>
      <c r="Q9" s="25"/>
      <c r="R9" s="25"/>
      <c r="S9" s="26"/>
    </row>
    <row r="10" spans="1:20" x14ac:dyDescent="0.25">
      <c r="C10" s="95"/>
      <c r="D10" s="95"/>
      <c r="G10" s="126"/>
      <c r="H10" s="126"/>
      <c r="I10" s="119"/>
      <c r="J10" s="119"/>
      <c r="K10" s="119" t="s">
        <v>100</v>
      </c>
      <c r="L10" s="21" t="s">
        <v>38</v>
      </c>
      <c r="M10" s="68">
        <f>SUM(M8:M8)</f>
        <v>0</v>
      </c>
      <c r="N10" s="68">
        <f>SUM(N8:N8)</f>
        <v>0</v>
      </c>
      <c r="O10" s="68">
        <f>SUM(O8:O8)</f>
        <v>0</v>
      </c>
      <c r="P10" s="68"/>
      <c r="Q10" s="68">
        <f>SUM(Q8:Q8)</f>
        <v>0</v>
      </c>
      <c r="R10" s="68">
        <f>SUM(R8:R8)</f>
        <v>0</v>
      </c>
      <c r="S10" s="23">
        <f>SUM(S8:S8)</f>
        <v>0</v>
      </c>
    </row>
    <row r="11" spans="1:20" x14ac:dyDescent="0.25">
      <c r="C11" s="95"/>
      <c r="D11" s="95"/>
      <c r="G11" s="126"/>
      <c r="H11" s="126"/>
      <c r="I11" s="119"/>
      <c r="J11" s="119"/>
      <c r="K11" s="119"/>
      <c r="L11" s="21"/>
      <c r="M11" s="68"/>
      <c r="N11" s="68"/>
      <c r="O11" s="68"/>
      <c r="P11" s="68"/>
      <c r="Q11" s="68"/>
      <c r="R11" s="68"/>
      <c r="S11" s="70"/>
    </row>
    <row r="12" spans="1:20" x14ac:dyDescent="0.25">
      <c r="C12" s="95"/>
      <c r="D12" s="95"/>
      <c r="G12" s="126"/>
      <c r="H12" s="126"/>
      <c r="I12" s="119"/>
      <c r="J12" s="119"/>
      <c r="K12" s="119"/>
      <c r="L12" s="21"/>
      <c r="M12" s="68"/>
      <c r="N12" s="68"/>
      <c r="O12" s="68"/>
      <c r="P12" s="68"/>
      <c r="Q12" s="68"/>
      <c r="R12" s="68"/>
      <c r="S12" s="70"/>
    </row>
    <row r="13" spans="1:20" x14ac:dyDescent="0.25">
      <c r="B13" s="8" t="s">
        <v>125</v>
      </c>
      <c r="C13" s="94"/>
      <c r="D13" s="94"/>
      <c r="S13" s="27"/>
    </row>
    <row r="14" spans="1:20" ht="33.75" customHeight="1" x14ac:dyDescent="0.25">
      <c r="B14" s="338" t="s">
        <v>126</v>
      </c>
      <c r="C14" s="338"/>
      <c r="D14" s="338"/>
      <c r="E14" s="338"/>
      <c r="F14" s="338"/>
      <c r="S14" s="27"/>
    </row>
    <row r="15" spans="1:20" x14ac:dyDescent="0.25">
      <c r="C15" s="94"/>
      <c r="D15" s="94"/>
      <c r="S15" s="27"/>
    </row>
    <row r="16" spans="1:20" ht="50.25" customHeight="1" x14ac:dyDescent="0.25">
      <c r="B16" s="338" t="s">
        <v>129</v>
      </c>
      <c r="C16" s="338"/>
      <c r="D16" s="338"/>
      <c r="E16" s="338"/>
      <c r="F16" s="338"/>
      <c r="S16" s="27"/>
    </row>
    <row r="17" spans="2:20" x14ac:dyDescent="0.25">
      <c r="B17" s="244"/>
      <c r="C17" s="244"/>
      <c r="D17" s="244"/>
      <c r="E17" s="244"/>
      <c r="S17" s="27"/>
    </row>
    <row r="18" spans="2:20" ht="32.25" customHeight="1" x14ac:dyDescent="0.25">
      <c r="B18" s="338" t="s">
        <v>160</v>
      </c>
      <c r="C18" s="338"/>
      <c r="D18" s="338"/>
      <c r="E18" s="338"/>
      <c r="F18" s="338"/>
      <c r="S18" s="27"/>
    </row>
    <row r="19" spans="2:20" ht="15" customHeight="1" x14ac:dyDescent="0.25">
      <c r="B19" s="346" t="s">
        <v>159</v>
      </c>
      <c r="C19" s="338"/>
      <c r="D19" s="338"/>
      <c r="E19" s="338"/>
      <c r="F19" s="338"/>
      <c r="S19" s="27"/>
    </row>
    <row r="20" spans="2:20" ht="15" customHeight="1" x14ac:dyDescent="0.25">
      <c r="B20" s="244"/>
      <c r="C20" s="244"/>
      <c r="D20" s="244"/>
      <c r="E20" s="244"/>
      <c r="S20" s="27"/>
    </row>
    <row r="21" spans="2:20" x14ac:dyDescent="0.25">
      <c r="B21" s="7" t="s">
        <v>109</v>
      </c>
      <c r="C21" s="104" t="s">
        <v>112</v>
      </c>
      <c r="D21" s="104" t="s">
        <v>113</v>
      </c>
      <c r="E21" s="244"/>
      <c r="S21" s="27"/>
    </row>
    <row r="22" spans="2:20" x14ac:dyDescent="0.25">
      <c r="B22" s="245" t="s">
        <v>111</v>
      </c>
      <c r="C22" s="94" t="s">
        <v>114</v>
      </c>
      <c r="D22" s="94" t="s">
        <v>119</v>
      </c>
      <c r="E22" s="244"/>
      <c r="S22" s="27"/>
    </row>
    <row r="23" spans="2:20" ht="15.75" x14ac:dyDescent="0.25">
      <c r="B23" s="201"/>
      <c r="C23" s="95"/>
      <c r="D23" s="95"/>
      <c r="S23" s="27"/>
    </row>
    <row r="24" spans="2:20" x14ac:dyDescent="0.25">
      <c r="B24" s="333" t="s">
        <v>209</v>
      </c>
      <c r="C24" s="333"/>
      <c r="D24" s="333"/>
      <c r="E24" s="333"/>
      <c r="F24" s="333"/>
      <c r="G24" s="333"/>
      <c r="H24" s="333"/>
      <c r="S24" s="27"/>
    </row>
    <row r="25" spans="2:20" x14ac:dyDescent="0.25">
      <c r="B25" s="249" t="s">
        <v>208</v>
      </c>
      <c r="C25" s="94"/>
      <c r="D25" s="94"/>
      <c r="S25" s="27"/>
    </row>
    <row r="26" spans="2:20" x14ac:dyDescent="0.25">
      <c r="B26" s="225"/>
      <c r="C26" s="96"/>
      <c r="D26" s="96"/>
      <c r="E26" s="10"/>
      <c r="F26" s="10"/>
      <c r="G26" s="10"/>
      <c r="H26" s="10"/>
      <c r="I26" s="10"/>
      <c r="J26" s="10"/>
      <c r="K26" s="10"/>
      <c r="L26" s="10"/>
      <c r="M26" s="10"/>
      <c r="N26" s="10"/>
      <c r="O26" s="10"/>
      <c r="P26" s="10"/>
      <c r="Q26" s="10"/>
      <c r="R26" s="10"/>
      <c r="S26" s="28"/>
    </row>
    <row r="27" spans="2:20" x14ac:dyDescent="0.25">
      <c r="B27" s="197"/>
      <c r="C27" s="95"/>
      <c r="D27" s="95"/>
      <c r="Q27" s="59" t="s">
        <v>90</v>
      </c>
      <c r="R27" s="50"/>
      <c r="S27" s="170"/>
    </row>
    <row r="28" spans="2:20" ht="15" customHeight="1" x14ac:dyDescent="0.25">
      <c r="B28" s="17" t="s">
        <v>39</v>
      </c>
      <c r="C28" s="246" t="s">
        <v>2</v>
      </c>
      <c r="D28" s="246"/>
      <c r="E28" s="246" t="s">
        <v>34</v>
      </c>
      <c r="F28" s="246" t="s">
        <v>35</v>
      </c>
      <c r="G28" s="246"/>
      <c r="H28" s="246"/>
      <c r="I28" s="246"/>
      <c r="J28" s="246"/>
      <c r="K28" s="246"/>
      <c r="L28" s="246" t="s">
        <v>36</v>
      </c>
      <c r="M28" s="246" t="s">
        <v>37</v>
      </c>
      <c r="N28" s="47"/>
      <c r="O28" s="47"/>
      <c r="P28" s="47"/>
      <c r="Q28" s="54" t="s">
        <v>88</v>
      </c>
      <c r="R28" s="52"/>
      <c r="S28" s="53"/>
      <c r="T28" s="51"/>
    </row>
    <row r="29" spans="2:20" ht="15" customHeight="1" x14ac:dyDescent="0.25">
      <c r="B29" s="65"/>
      <c r="C29" s="153"/>
      <c r="D29" s="153"/>
      <c r="E29" s="153"/>
      <c r="F29" s="153"/>
      <c r="G29" s="153"/>
      <c r="H29" s="153"/>
      <c r="I29" s="153"/>
      <c r="J29" s="153"/>
      <c r="K29" s="153"/>
      <c r="L29" s="153"/>
      <c r="M29" s="153"/>
      <c r="N29" s="45"/>
      <c r="O29" s="45"/>
      <c r="P29" s="45"/>
      <c r="T29" s="51"/>
    </row>
    <row r="30" spans="2:20" ht="15" customHeight="1" x14ac:dyDescent="0.25">
      <c r="B30" s="65"/>
      <c r="C30" s="153"/>
      <c r="D30" s="153"/>
      <c r="E30" s="153"/>
      <c r="F30" s="153"/>
      <c r="G30" s="153"/>
      <c r="H30" s="153"/>
      <c r="I30" s="153"/>
      <c r="J30" s="153"/>
      <c r="K30" s="153"/>
      <c r="L30" s="153"/>
      <c r="M30" s="153"/>
      <c r="N30" s="45"/>
      <c r="O30" s="45"/>
      <c r="P30" s="45"/>
      <c r="Q30" s="59"/>
      <c r="R30" s="50"/>
      <c r="S30" s="50"/>
      <c r="T30" s="51"/>
    </row>
    <row r="31" spans="2:20" x14ac:dyDescent="0.25">
      <c r="B31" s="11"/>
      <c r="C31" s="153"/>
      <c r="D31" s="153"/>
      <c r="E31" s="153"/>
      <c r="R31" s="51"/>
      <c r="S31" s="51"/>
      <c r="T31" s="51"/>
    </row>
    <row r="32" spans="2:20" x14ac:dyDescent="0.25">
      <c r="B32" s="12"/>
      <c r="C32" s="13"/>
      <c r="D32" s="13"/>
      <c r="E32" s="41"/>
      <c r="F32" s="15"/>
      <c r="G32" s="15"/>
      <c r="H32" s="15"/>
      <c r="I32" s="15"/>
      <c r="J32" s="15"/>
      <c r="K32" s="15"/>
      <c r="L32" s="16"/>
      <c r="M32" s="20"/>
      <c r="N32" s="18"/>
      <c r="O32" s="18"/>
      <c r="P32" s="18"/>
    </row>
    <row r="33" spans="2:16" x14ac:dyDescent="0.25">
      <c r="B33" s="12"/>
      <c r="C33" s="13"/>
      <c r="D33" s="13"/>
      <c r="E33" s="41"/>
      <c r="F33" s="15"/>
      <c r="G33" s="15"/>
      <c r="H33" s="15"/>
      <c r="I33" s="15"/>
      <c r="J33" s="15"/>
      <c r="K33" s="15"/>
      <c r="L33" s="16"/>
      <c r="M33" s="20"/>
      <c r="N33" s="18"/>
      <c r="O33" s="18"/>
      <c r="P33" s="18"/>
    </row>
    <row r="34" spans="2:16" x14ac:dyDescent="0.25">
      <c r="B34" s="12"/>
      <c r="C34" s="13"/>
      <c r="D34" s="13"/>
      <c r="E34" s="41"/>
      <c r="F34" s="15"/>
      <c r="G34" s="15"/>
      <c r="H34" s="15"/>
      <c r="I34" s="15"/>
      <c r="J34" s="15"/>
      <c r="K34" s="15"/>
      <c r="L34" s="16"/>
      <c r="M34" s="20"/>
      <c r="N34" s="18"/>
      <c r="O34" s="18"/>
      <c r="P34" s="18"/>
    </row>
    <row r="35" spans="2:16" x14ac:dyDescent="0.25">
      <c r="B35" s="12"/>
      <c r="C35" s="13"/>
      <c r="D35" s="13"/>
      <c r="E35" s="41"/>
      <c r="F35" s="15"/>
      <c r="G35" s="15"/>
      <c r="H35" s="15"/>
      <c r="I35" s="15"/>
      <c r="J35" s="15"/>
      <c r="K35" s="15"/>
      <c r="L35" s="16"/>
      <c r="M35" s="20"/>
      <c r="N35" s="18"/>
      <c r="O35" s="18"/>
      <c r="P35" s="18"/>
    </row>
  </sheetData>
  <mergeCells count="7">
    <mergeCell ref="B19:F19"/>
    <mergeCell ref="B24:H24"/>
    <mergeCell ref="Q1:S1"/>
    <mergeCell ref="Q2:S2"/>
    <mergeCell ref="B14:F14"/>
    <mergeCell ref="B16:F16"/>
    <mergeCell ref="B18:F18"/>
  </mergeCells>
  <hyperlinks>
    <hyperlink ref="B19" r:id="rId1"/>
  </hyperlinks>
  <printOptions horizontalCentered="1" gridLines="1"/>
  <pageMargins left="0" right="0" top="0.75" bottom="0.75" header="0.3" footer="0.3"/>
  <pageSetup scale="49" orientation="landscape" horizontalDpi="1200" verticalDpi="1200"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2"/>
  <sheetViews>
    <sheetView topLeftCell="E23" zoomScale="120" zoomScaleNormal="120" workbookViewId="0">
      <selection activeCell="S50" sqref="S50"/>
    </sheetView>
  </sheetViews>
  <sheetFormatPr defaultColWidth="9.140625" defaultRowHeight="15" x14ac:dyDescent="0.25"/>
  <cols>
    <col min="1" max="1" width="9.140625" style="2" hidden="1" customWidth="1"/>
    <col min="2" max="2" width="57.7109375" style="2" customWidth="1"/>
    <col min="3" max="3" width="26.42578125" style="2" customWidth="1"/>
    <col min="4" max="4" width="13.7109375" style="2" customWidth="1"/>
    <col min="5" max="5" width="17" style="2" bestFit="1" customWidth="1"/>
    <col min="6" max="6" width="21.85546875" style="2" customWidth="1"/>
    <col min="7" max="7" width="10.140625" style="2" customWidth="1"/>
    <col min="8" max="8" width="13.42578125" style="2" customWidth="1"/>
    <col min="9" max="9" width="13.28515625" style="2" customWidth="1"/>
    <col min="10" max="10" width="14.7109375" style="2" customWidth="1"/>
    <col min="11" max="11" width="10.42578125" style="2" customWidth="1"/>
    <col min="12" max="12" width="18.7109375" style="2" customWidth="1"/>
    <col min="13" max="13" width="13.28515625" style="2" bestFit="1" customWidth="1"/>
    <col min="14" max="14" width="13.7109375" style="2" customWidth="1"/>
    <col min="15" max="15" width="14.42578125" style="2" customWidth="1"/>
    <col min="16" max="16" width="3.140625" style="2" customWidth="1"/>
    <col min="17" max="17" width="16.5703125" style="2" customWidth="1"/>
    <col min="18" max="18" width="14.140625" style="2" customWidth="1"/>
    <col min="19" max="19" width="16.7109375" style="2" customWidth="1"/>
    <col min="20" max="16384" width="9.140625" style="2"/>
  </cols>
  <sheetData>
    <row r="1" spans="1:20" ht="18" customHeight="1" x14ac:dyDescent="0.25">
      <c r="A1" s="2" t="s">
        <v>342</v>
      </c>
      <c r="B1" s="8" t="s">
        <v>222</v>
      </c>
      <c r="Q1" s="335" t="s">
        <v>230</v>
      </c>
      <c r="R1" s="335"/>
      <c r="S1" s="335"/>
    </row>
    <row r="2" spans="1:20" ht="18" customHeight="1" x14ac:dyDescent="0.25">
      <c r="B2" s="90" t="s">
        <v>148</v>
      </c>
      <c r="C2" s="187">
        <v>44377</v>
      </c>
      <c r="M2" s="73"/>
      <c r="N2" s="73"/>
      <c r="P2" s="29"/>
      <c r="Q2" s="334" t="s">
        <v>338</v>
      </c>
      <c r="R2" s="334"/>
      <c r="S2" s="334"/>
    </row>
    <row r="3" spans="1:20" ht="18" customHeight="1" thickBot="1" x14ac:dyDescent="0.3">
      <c r="A3" s="2" t="s">
        <v>16</v>
      </c>
      <c r="B3" s="44" t="s">
        <v>52</v>
      </c>
      <c r="C3" s="8"/>
      <c r="D3" s="8"/>
      <c r="E3" s="8"/>
      <c r="P3" s="29"/>
      <c r="Q3" s="45"/>
      <c r="R3" s="30"/>
    </row>
    <row r="4" spans="1:20" ht="18.75" customHeight="1" x14ac:dyDescent="0.25">
      <c r="B4" s="8" t="s">
        <v>174</v>
      </c>
      <c r="M4" s="87" t="s">
        <v>28</v>
      </c>
      <c r="N4" s="87" t="s">
        <v>28</v>
      </c>
      <c r="O4" s="87" t="s">
        <v>28</v>
      </c>
      <c r="P4" s="9"/>
      <c r="Q4" s="91" t="s">
        <v>29</v>
      </c>
      <c r="R4" s="91" t="s">
        <v>31</v>
      </c>
      <c r="S4" s="91" t="s">
        <v>23</v>
      </c>
      <c r="T4" s="7"/>
    </row>
    <row r="5" spans="1:20" ht="15.75" thickBot="1" x14ac:dyDescent="0.3">
      <c r="G5" s="188" t="s">
        <v>231</v>
      </c>
      <c r="H5" s="188" t="s">
        <v>231</v>
      </c>
      <c r="M5" s="88" t="s">
        <v>27</v>
      </c>
      <c r="N5" s="88" t="s">
        <v>26</v>
      </c>
      <c r="O5" s="88" t="s">
        <v>25</v>
      </c>
      <c r="P5" s="9"/>
      <c r="Q5" s="92" t="s">
        <v>30</v>
      </c>
      <c r="R5" s="92" t="s">
        <v>30</v>
      </c>
      <c r="S5" s="92" t="s">
        <v>30</v>
      </c>
      <c r="T5" s="7"/>
    </row>
    <row r="6" spans="1:20" ht="85.5" customHeight="1" thickBot="1" x14ac:dyDescent="0.3">
      <c r="B6" s="86" t="s">
        <v>1</v>
      </c>
      <c r="C6" s="86" t="s">
        <v>127</v>
      </c>
      <c r="D6" s="86" t="s">
        <v>107</v>
      </c>
      <c r="E6" s="86" t="s">
        <v>3</v>
      </c>
      <c r="F6" s="86" t="s">
        <v>4</v>
      </c>
      <c r="G6" s="110" t="s">
        <v>136</v>
      </c>
      <c r="H6" s="110" t="s">
        <v>137</v>
      </c>
      <c r="I6" s="110" t="s">
        <v>133</v>
      </c>
      <c r="J6" s="110" t="s">
        <v>134</v>
      </c>
      <c r="K6" s="110" t="s">
        <v>121</v>
      </c>
      <c r="L6" s="85" t="s">
        <v>5</v>
      </c>
      <c r="M6" s="89" t="s">
        <v>6</v>
      </c>
      <c r="N6" s="89" t="s">
        <v>6</v>
      </c>
      <c r="O6" s="89" t="s">
        <v>6</v>
      </c>
      <c r="P6" s="9"/>
      <c r="Q6" s="93"/>
      <c r="R6" s="99" t="s">
        <v>32</v>
      </c>
      <c r="S6" s="100" t="s">
        <v>33</v>
      </c>
    </row>
    <row r="7" spans="1:20" ht="33.75" customHeight="1" x14ac:dyDescent="0.25">
      <c r="B7" s="2" t="s">
        <v>8</v>
      </c>
      <c r="C7" s="94" t="s">
        <v>106</v>
      </c>
      <c r="D7" s="94" t="s">
        <v>246</v>
      </c>
      <c r="E7" s="2" t="s">
        <v>232</v>
      </c>
      <c r="F7" s="2" t="s">
        <v>7</v>
      </c>
      <c r="G7" s="191">
        <v>2.9600000000000001E-2</v>
      </c>
      <c r="H7" s="191">
        <v>0.1744</v>
      </c>
      <c r="I7" s="192">
        <v>44377</v>
      </c>
      <c r="J7" s="192">
        <v>44378</v>
      </c>
      <c r="K7" s="192">
        <v>44013</v>
      </c>
      <c r="L7" s="193" t="s">
        <v>234</v>
      </c>
      <c r="M7" s="67">
        <v>13672.86</v>
      </c>
      <c r="N7" s="68">
        <f>13688.36-M7</f>
        <v>15.5</v>
      </c>
      <c r="O7" s="68">
        <f>M7+N7</f>
        <v>13688.36</v>
      </c>
      <c r="P7" s="68"/>
      <c r="Q7" s="68">
        <f>5822.86+5870+1980</f>
        <v>13672.86</v>
      </c>
      <c r="R7" s="68"/>
      <c r="S7" s="70">
        <f>Q7+R7</f>
        <v>13672.86</v>
      </c>
    </row>
    <row r="8" spans="1:20" ht="30" customHeight="1" x14ac:dyDescent="0.25">
      <c r="B8" s="2" t="s">
        <v>128</v>
      </c>
      <c r="C8" s="97" t="s">
        <v>122</v>
      </c>
      <c r="D8" s="95" t="s">
        <v>248</v>
      </c>
      <c r="E8" s="2" t="s">
        <v>233</v>
      </c>
      <c r="F8" s="2" t="s">
        <v>7</v>
      </c>
      <c r="G8" s="191">
        <f t="shared" ref="G8:L8" si="0">G7</f>
        <v>2.9600000000000001E-2</v>
      </c>
      <c r="H8" s="191">
        <f t="shared" si="0"/>
        <v>0.1744</v>
      </c>
      <c r="I8" s="192">
        <f t="shared" si="0"/>
        <v>44377</v>
      </c>
      <c r="J8" s="192">
        <f t="shared" si="0"/>
        <v>44378</v>
      </c>
      <c r="K8" s="192">
        <f t="shared" si="0"/>
        <v>44013</v>
      </c>
      <c r="L8" s="193" t="str">
        <f t="shared" si="0"/>
        <v>07/01/20 - 06/30/21</v>
      </c>
      <c r="M8" s="67">
        <v>55213.31</v>
      </c>
      <c r="N8" s="68">
        <v>64946.43</v>
      </c>
      <c r="O8" s="68">
        <f>M8+N8</f>
        <v>120159.73999999999</v>
      </c>
      <c r="P8" s="68"/>
      <c r="Q8" s="68">
        <f>55213.31+64946.43</f>
        <v>120159.73999999999</v>
      </c>
      <c r="R8" s="68"/>
      <c r="S8" s="70">
        <f>Q8+R8</f>
        <v>120159.73999999999</v>
      </c>
    </row>
    <row r="9" spans="1:20" ht="30" customHeight="1" x14ac:dyDescent="0.25">
      <c r="B9" s="2" t="s">
        <v>241</v>
      </c>
      <c r="C9" s="243" t="s">
        <v>242</v>
      </c>
      <c r="D9" s="95" t="s">
        <v>243</v>
      </c>
      <c r="E9" s="2" t="s">
        <v>244</v>
      </c>
      <c r="F9" s="2" t="s">
        <v>7</v>
      </c>
      <c r="G9" s="191">
        <f t="shared" ref="G9:H11" si="1">+G8</f>
        <v>2.9600000000000001E-2</v>
      </c>
      <c r="H9" s="191">
        <f t="shared" si="1"/>
        <v>0.1744</v>
      </c>
      <c r="I9" s="192">
        <v>44834</v>
      </c>
      <c r="J9" s="192">
        <v>44849</v>
      </c>
      <c r="K9" s="192">
        <v>43614</v>
      </c>
      <c r="L9" s="193" t="s">
        <v>311</v>
      </c>
      <c r="M9" s="67">
        <v>15980.3</v>
      </c>
      <c r="N9" s="68"/>
      <c r="O9" s="68">
        <f>M9+N9</f>
        <v>15980.3</v>
      </c>
      <c r="P9" s="68"/>
      <c r="Q9" s="68"/>
      <c r="R9" s="68"/>
      <c r="S9" s="70">
        <f>Q9+R9</f>
        <v>0</v>
      </c>
    </row>
    <row r="10" spans="1:20" ht="30" customHeight="1" x14ac:dyDescent="0.25">
      <c r="B10" s="2" t="s">
        <v>283</v>
      </c>
      <c r="C10" s="243" t="s">
        <v>264</v>
      </c>
      <c r="D10" s="95" t="s">
        <v>254</v>
      </c>
      <c r="E10" s="2" t="s">
        <v>284</v>
      </c>
      <c r="F10" s="2" t="s">
        <v>7</v>
      </c>
      <c r="G10" s="191">
        <f t="shared" si="1"/>
        <v>2.9600000000000001E-2</v>
      </c>
      <c r="H10" s="191">
        <f t="shared" si="1"/>
        <v>0.1744</v>
      </c>
      <c r="I10" s="192">
        <v>44377</v>
      </c>
      <c r="J10" s="192">
        <v>44392</v>
      </c>
      <c r="K10" s="192">
        <v>43613</v>
      </c>
      <c r="L10" s="193" t="s">
        <v>234</v>
      </c>
      <c r="M10" s="81">
        <v>7302.48</v>
      </c>
      <c r="N10" s="68"/>
      <c r="O10" s="68">
        <f>M10+N10</f>
        <v>7302.48</v>
      </c>
      <c r="P10" s="68"/>
      <c r="Q10" s="68"/>
      <c r="R10" s="68"/>
      <c r="S10" s="70">
        <f>Q10+R10</f>
        <v>0</v>
      </c>
    </row>
    <row r="11" spans="1:20" ht="30" customHeight="1" x14ac:dyDescent="0.25">
      <c r="B11" s="343" t="s">
        <v>263</v>
      </c>
      <c r="C11" s="243" t="s">
        <v>264</v>
      </c>
      <c r="D11" s="95" t="s">
        <v>254</v>
      </c>
      <c r="E11" s="2" t="s">
        <v>265</v>
      </c>
      <c r="F11" s="2" t="s">
        <v>7</v>
      </c>
      <c r="G11" s="191">
        <f t="shared" si="1"/>
        <v>2.9600000000000001E-2</v>
      </c>
      <c r="H11" s="191">
        <f t="shared" si="1"/>
        <v>0.1744</v>
      </c>
      <c r="I11" s="192">
        <v>44834</v>
      </c>
      <c r="J11" s="192">
        <v>44849</v>
      </c>
      <c r="K11" s="192">
        <v>43613</v>
      </c>
      <c r="L11" s="193" t="s">
        <v>335</v>
      </c>
      <c r="M11" s="67">
        <v>10000</v>
      </c>
      <c r="N11" s="68"/>
      <c r="O11" s="68">
        <f>M11+N11</f>
        <v>10000</v>
      </c>
      <c r="P11" s="68"/>
      <c r="Q11" s="68"/>
      <c r="R11" s="68"/>
      <c r="S11" s="70">
        <f>Q11+R11</f>
        <v>0</v>
      </c>
    </row>
    <row r="12" spans="1:20" x14ac:dyDescent="0.25">
      <c r="B12" s="343"/>
      <c r="C12" s="94"/>
      <c r="D12" s="94"/>
      <c r="G12" s="126"/>
      <c r="H12" s="127"/>
      <c r="I12" s="119"/>
      <c r="J12" s="119"/>
      <c r="K12" s="119"/>
      <c r="L12" s="95"/>
      <c r="M12" s="29"/>
      <c r="N12" s="29"/>
      <c r="O12" s="29"/>
      <c r="P12" s="29"/>
      <c r="Q12" s="29"/>
      <c r="R12" s="29"/>
      <c r="S12" s="27"/>
    </row>
    <row r="13" spans="1:20" ht="24" customHeight="1" x14ac:dyDescent="0.25">
      <c r="B13" s="2" t="s">
        <v>268</v>
      </c>
      <c r="C13" s="243" t="s">
        <v>269</v>
      </c>
      <c r="D13" s="95" t="s">
        <v>164</v>
      </c>
      <c r="E13" s="2" t="s">
        <v>271</v>
      </c>
      <c r="F13" s="2" t="s">
        <v>7</v>
      </c>
      <c r="G13" s="191">
        <f>+G11</f>
        <v>2.9600000000000001E-2</v>
      </c>
      <c r="H13" s="191">
        <f>+H11</f>
        <v>0.1744</v>
      </c>
      <c r="I13" s="192">
        <v>44393</v>
      </c>
      <c r="J13" s="192">
        <v>44408</v>
      </c>
      <c r="K13" s="192">
        <v>42644</v>
      </c>
      <c r="L13" s="193" t="s">
        <v>310</v>
      </c>
      <c r="M13" s="81">
        <v>64260</v>
      </c>
      <c r="N13" s="69"/>
      <c r="O13" s="69">
        <f>M13+N13</f>
        <v>64260</v>
      </c>
      <c r="P13" s="29"/>
      <c r="Q13" s="298">
        <f>63670+590</f>
        <v>64260</v>
      </c>
      <c r="R13" s="29"/>
      <c r="S13" s="70">
        <f>Q13+R13</f>
        <v>64260</v>
      </c>
    </row>
    <row r="14" spans="1:20" ht="24" customHeight="1" x14ac:dyDescent="0.25">
      <c r="B14" s="2" t="s">
        <v>318</v>
      </c>
      <c r="C14" s="243" t="s">
        <v>242</v>
      </c>
      <c r="D14" s="95" t="s">
        <v>243</v>
      </c>
      <c r="E14" s="2" t="s">
        <v>319</v>
      </c>
      <c r="F14" s="2" t="s">
        <v>7</v>
      </c>
      <c r="G14" s="191">
        <v>2.9600000000000001E-2</v>
      </c>
      <c r="H14" s="191">
        <v>0.1744</v>
      </c>
      <c r="I14" s="192">
        <v>44561</v>
      </c>
      <c r="J14" s="192">
        <v>44576</v>
      </c>
      <c r="K14" s="192">
        <v>43980</v>
      </c>
      <c r="L14" s="193" t="s">
        <v>320</v>
      </c>
      <c r="M14" s="81">
        <v>3000</v>
      </c>
      <c r="N14" s="69"/>
      <c r="O14" s="69">
        <f t="shared" ref="O14:O16" si="2">M14+N14</f>
        <v>3000</v>
      </c>
      <c r="P14" s="68"/>
      <c r="Q14" s="69"/>
      <c r="R14" s="69"/>
      <c r="S14" s="70">
        <f t="shared" ref="S14:S16" si="3">Q14+R14</f>
        <v>0</v>
      </c>
    </row>
    <row r="15" spans="1:20" ht="24" customHeight="1" x14ac:dyDescent="0.25">
      <c r="B15" s="2" t="s">
        <v>321</v>
      </c>
      <c r="C15" s="243" t="s">
        <v>264</v>
      </c>
      <c r="D15" s="95" t="s">
        <v>254</v>
      </c>
      <c r="E15" s="2" t="s">
        <v>322</v>
      </c>
      <c r="F15" s="2" t="s">
        <v>7</v>
      </c>
      <c r="G15" s="191">
        <v>2.9600000000000001E-2</v>
      </c>
      <c r="H15" s="191">
        <v>0.1744</v>
      </c>
      <c r="I15" s="192">
        <v>44742</v>
      </c>
      <c r="J15" s="192">
        <v>44757</v>
      </c>
      <c r="K15" s="192">
        <v>43979</v>
      </c>
      <c r="L15" s="193" t="s">
        <v>323</v>
      </c>
      <c r="M15" s="81">
        <v>1027</v>
      </c>
      <c r="N15" s="69"/>
      <c r="O15" s="69">
        <f t="shared" si="2"/>
        <v>1027</v>
      </c>
      <c r="P15" s="68"/>
      <c r="Q15" s="69"/>
      <c r="R15" s="69"/>
      <c r="S15" s="70">
        <f t="shared" si="3"/>
        <v>0</v>
      </c>
    </row>
    <row r="16" spans="1:20" ht="24" customHeight="1" x14ac:dyDescent="0.25">
      <c r="B16" s="2" t="s">
        <v>327</v>
      </c>
      <c r="C16" s="243" t="s">
        <v>242</v>
      </c>
      <c r="D16" s="95" t="s">
        <v>328</v>
      </c>
      <c r="E16" s="2" t="s">
        <v>329</v>
      </c>
      <c r="F16" s="2" t="s">
        <v>7</v>
      </c>
      <c r="G16" s="191">
        <v>2.9600000000000001E-2</v>
      </c>
      <c r="H16" s="191">
        <v>0.1744</v>
      </c>
      <c r="I16" s="192">
        <v>44440</v>
      </c>
      <c r="J16" s="192">
        <v>44440</v>
      </c>
      <c r="K16" s="192">
        <v>44201</v>
      </c>
      <c r="L16" s="193" t="s">
        <v>330</v>
      </c>
      <c r="M16" s="81">
        <v>26774.85</v>
      </c>
      <c r="N16" s="69"/>
      <c r="O16" s="69">
        <f t="shared" si="2"/>
        <v>26774.85</v>
      </c>
      <c r="P16" s="68"/>
      <c r="Q16" s="69"/>
      <c r="R16" s="69"/>
      <c r="S16" s="70">
        <f t="shared" si="3"/>
        <v>0</v>
      </c>
    </row>
    <row r="17" spans="2:19" ht="15.75" customHeight="1" x14ac:dyDescent="0.25">
      <c r="C17" s="243"/>
      <c r="D17" s="95"/>
      <c r="G17" s="191"/>
      <c r="H17" s="191"/>
      <c r="I17" s="192"/>
      <c r="J17" s="192"/>
      <c r="K17" s="192"/>
      <c r="L17" s="193"/>
      <c r="M17" s="76"/>
      <c r="N17" s="25"/>
      <c r="O17" s="25"/>
      <c r="P17" s="29"/>
      <c r="Q17" s="10"/>
      <c r="R17" s="10"/>
      <c r="S17" s="28"/>
    </row>
    <row r="18" spans="2:19" ht="22.5" customHeight="1" x14ac:dyDescent="0.25">
      <c r="C18" s="94"/>
      <c r="D18" s="94"/>
      <c r="I18" s="119"/>
      <c r="J18" s="119"/>
      <c r="K18" s="119"/>
      <c r="L18" s="5" t="s">
        <v>38</v>
      </c>
      <c r="M18" s="68">
        <f>SUM(M7:M17)</f>
        <v>197230.80000000002</v>
      </c>
      <c r="N18" s="68">
        <f>SUM(N7:N17)</f>
        <v>64961.93</v>
      </c>
      <c r="O18" s="68">
        <f>SUM(O7:O17)</f>
        <v>262192.73</v>
      </c>
      <c r="Q18" s="68">
        <f>SUM(Q7:Q17)</f>
        <v>198092.59999999998</v>
      </c>
      <c r="R18" s="68">
        <f>SUM(R7:R17)</f>
        <v>0</v>
      </c>
      <c r="S18" s="23">
        <f>SUM(S7:S17)</f>
        <v>198092.59999999998</v>
      </c>
    </row>
    <row r="19" spans="2:19" x14ac:dyDescent="0.25">
      <c r="C19" s="94"/>
      <c r="D19" s="94"/>
      <c r="I19" s="119"/>
      <c r="J19" s="119"/>
      <c r="K19" s="119"/>
      <c r="L19" s="5"/>
      <c r="M19" s="68"/>
      <c r="N19" s="68"/>
      <c r="O19" s="68"/>
      <c r="Q19" s="68"/>
      <c r="R19" s="68"/>
      <c r="S19" s="70"/>
    </row>
    <row r="20" spans="2:19" x14ac:dyDescent="0.25">
      <c r="C20" s="94"/>
      <c r="D20" s="94"/>
      <c r="S20" s="27"/>
    </row>
    <row r="21" spans="2:19" x14ac:dyDescent="0.25">
      <c r="B21" s="8" t="s">
        <v>125</v>
      </c>
      <c r="C21" s="94"/>
      <c r="D21" s="94"/>
      <c r="S21" s="27"/>
    </row>
    <row r="22" spans="2:19" ht="33" customHeight="1" x14ac:dyDescent="0.25">
      <c r="B22" s="338" t="s">
        <v>126</v>
      </c>
      <c r="C22" s="338"/>
      <c r="D22" s="338"/>
      <c r="E22" s="338"/>
      <c r="F22" s="338"/>
      <c r="G22" s="120"/>
      <c r="H22" s="120"/>
      <c r="I22" s="114"/>
      <c r="L22" s="5"/>
      <c r="M22" s="68"/>
      <c r="N22" s="68"/>
      <c r="O22" s="68"/>
      <c r="Q22" s="68"/>
      <c r="R22" s="68"/>
      <c r="S22" s="70"/>
    </row>
    <row r="23" spans="2:19" x14ac:dyDescent="0.25">
      <c r="C23" s="94"/>
      <c r="D23" s="94"/>
      <c r="L23" s="5"/>
      <c r="M23" s="68"/>
      <c r="N23" s="68"/>
      <c r="O23" s="68"/>
      <c r="P23" s="29"/>
      <c r="Q23" s="68"/>
      <c r="R23" s="68"/>
      <c r="S23" s="70"/>
    </row>
    <row r="24" spans="2:19" ht="43.5" customHeight="1" x14ac:dyDescent="0.25">
      <c r="B24" s="338" t="s">
        <v>129</v>
      </c>
      <c r="C24" s="338"/>
      <c r="D24" s="338"/>
      <c r="E24" s="338"/>
      <c r="F24" s="338"/>
      <c r="G24" s="120"/>
      <c r="H24" s="120"/>
      <c r="I24" s="114"/>
      <c r="L24" s="5"/>
      <c r="M24" s="68"/>
      <c r="N24" s="68"/>
      <c r="O24" s="68"/>
      <c r="P24" s="29"/>
      <c r="Q24" s="68"/>
      <c r="R24" s="68"/>
      <c r="S24" s="70"/>
    </row>
    <row r="25" spans="2:19" x14ac:dyDescent="0.25">
      <c r="B25" s="111"/>
      <c r="C25" s="111"/>
      <c r="D25" s="111"/>
      <c r="E25" s="111"/>
      <c r="F25" s="111"/>
      <c r="G25" s="120"/>
      <c r="H25" s="120"/>
      <c r="I25" s="114"/>
      <c r="L25" s="5"/>
      <c r="M25" s="68"/>
      <c r="N25" s="68"/>
      <c r="O25" s="68"/>
      <c r="P25" s="29"/>
      <c r="Q25" s="68"/>
      <c r="R25" s="68"/>
      <c r="S25" s="70"/>
    </row>
    <row r="26" spans="2:19" ht="32.25" customHeight="1" x14ac:dyDescent="0.25">
      <c r="B26" s="338" t="s">
        <v>160</v>
      </c>
      <c r="C26" s="338"/>
      <c r="D26" s="338"/>
      <c r="E26" s="338"/>
      <c r="F26" s="338"/>
      <c r="G26" s="198"/>
      <c r="H26" s="198"/>
      <c r="I26" s="198"/>
      <c r="L26" s="5"/>
      <c r="M26" s="68"/>
      <c r="N26" s="68"/>
      <c r="O26" s="68"/>
      <c r="P26" s="29"/>
      <c r="Q26" s="68"/>
      <c r="R26" s="68"/>
      <c r="S26" s="70"/>
    </row>
    <row r="27" spans="2:19" ht="15" customHeight="1" x14ac:dyDescent="0.25">
      <c r="B27" s="346" t="s">
        <v>159</v>
      </c>
      <c r="C27" s="346"/>
      <c r="D27" s="346"/>
      <c r="E27" s="346"/>
      <c r="F27" s="346"/>
      <c r="G27" s="198"/>
      <c r="H27" s="198"/>
      <c r="I27" s="198"/>
      <c r="L27" s="5"/>
      <c r="M27" s="68"/>
      <c r="N27" s="68"/>
      <c r="O27" s="68"/>
      <c r="P27" s="29"/>
      <c r="Q27" s="68"/>
      <c r="R27" s="68"/>
      <c r="S27" s="70"/>
    </row>
    <row r="28" spans="2:19" ht="15" customHeight="1" x14ac:dyDescent="0.25">
      <c r="B28" s="242"/>
      <c r="C28" s="242"/>
      <c r="D28" s="242"/>
      <c r="E28" s="242"/>
      <c r="F28" s="242"/>
      <c r="G28" s="241"/>
      <c r="H28" s="241"/>
      <c r="I28" s="241"/>
      <c r="L28" s="5"/>
      <c r="M28" s="68"/>
      <c r="N28" s="68"/>
      <c r="O28" s="68"/>
      <c r="P28" s="29"/>
      <c r="Q28" s="68"/>
      <c r="R28" s="68"/>
      <c r="S28" s="70"/>
    </row>
    <row r="29" spans="2:19" x14ac:dyDescent="0.25">
      <c r="B29" s="7" t="s">
        <v>109</v>
      </c>
      <c r="C29" s="104" t="s">
        <v>112</v>
      </c>
      <c r="D29" s="104" t="s">
        <v>113</v>
      </c>
      <c r="E29" s="111"/>
      <c r="F29" s="111"/>
      <c r="G29" s="120"/>
      <c r="H29" s="120"/>
      <c r="I29" s="114"/>
      <c r="L29" s="5"/>
      <c r="M29" s="68"/>
      <c r="N29" s="68"/>
      <c r="O29" s="68"/>
      <c r="P29" s="29"/>
      <c r="Q29" s="68"/>
      <c r="R29" s="68"/>
      <c r="S29" s="70"/>
    </row>
    <row r="30" spans="2:19" hidden="1" x14ac:dyDescent="0.25">
      <c r="B30" s="2" t="s">
        <v>110</v>
      </c>
      <c r="C30" s="94" t="s">
        <v>116</v>
      </c>
      <c r="D30" s="94" t="s">
        <v>118</v>
      </c>
      <c r="E30" s="111"/>
      <c r="F30" s="111"/>
      <c r="G30" s="120"/>
      <c r="H30" s="120"/>
      <c r="I30" s="114"/>
      <c r="L30" s="5"/>
      <c r="M30" s="68"/>
      <c r="N30" s="68"/>
      <c r="O30" s="68"/>
      <c r="P30" s="29"/>
      <c r="Q30" s="68"/>
      <c r="R30" s="68"/>
      <c r="S30" s="70"/>
    </row>
    <row r="31" spans="2:19" x14ac:dyDescent="0.25">
      <c r="B31" s="2" t="s">
        <v>110</v>
      </c>
      <c r="C31" s="94" t="s">
        <v>116</v>
      </c>
      <c r="D31" s="94" t="s">
        <v>118</v>
      </c>
      <c r="E31" s="244"/>
      <c r="F31" s="244"/>
      <c r="G31" s="244"/>
      <c r="H31" s="244"/>
      <c r="I31" s="244"/>
      <c r="L31" s="5"/>
      <c r="M31" s="68"/>
      <c r="N31" s="68"/>
      <c r="O31" s="68"/>
      <c r="P31" s="29"/>
      <c r="Q31" s="68"/>
      <c r="R31" s="68"/>
      <c r="S31" s="70"/>
    </row>
    <row r="32" spans="2:19" x14ac:dyDescent="0.25">
      <c r="B32" s="2" t="s">
        <v>111</v>
      </c>
      <c r="C32" s="94" t="s">
        <v>114</v>
      </c>
      <c r="D32" s="94" t="s">
        <v>119</v>
      </c>
      <c r="L32" s="5"/>
      <c r="M32" s="68"/>
      <c r="N32" s="68"/>
      <c r="O32" s="68"/>
      <c r="P32" s="29"/>
      <c r="Q32" s="68"/>
      <c r="R32" s="68"/>
      <c r="S32" s="70"/>
    </row>
    <row r="33" spans="2:20" x14ac:dyDescent="0.25">
      <c r="B33" s="2" t="s">
        <v>252</v>
      </c>
      <c r="C33" s="94" t="s">
        <v>135</v>
      </c>
      <c r="D33" s="94" t="s">
        <v>147</v>
      </c>
      <c r="L33" s="5"/>
      <c r="M33" s="68"/>
      <c r="N33" s="68"/>
      <c r="O33" s="68"/>
      <c r="P33" s="29"/>
      <c r="Q33" s="68"/>
      <c r="R33" s="68"/>
      <c r="S33" s="70"/>
    </row>
    <row r="34" spans="2:20" x14ac:dyDescent="0.25">
      <c r="B34" s="2" t="s">
        <v>260</v>
      </c>
      <c r="C34" s="94" t="s">
        <v>135</v>
      </c>
      <c r="D34" s="94" t="s">
        <v>147</v>
      </c>
      <c r="L34" s="5"/>
      <c r="M34" s="68"/>
      <c r="N34" s="68"/>
      <c r="O34" s="68"/>
      <c r="P34" s="29"/>
      <c r="Q34" s="68"/>
      <c r="R34" s="68"/>
      <c r="S34" s="70"/>
    </row>
    <row r="35" spans="2:20" x14ac:dyDescent="0.25">
      <c r="B35" s="2" t="s">
        <v>261</v>
      </c>
      <c r="C35" s="94" t="s">
        <v>179</v>
      </c>
      <c r="D35" s="94" t="s">
        <v>262</v>
      </c>
      <c r="L35" s="5"/>
      <c r="M35" s="68"/>
      <c r="N35" s="68"/>
      <c r="O35" s="68"/>
      <c r="P35" s="29"/>
      <c r="Q35" s="68"/>
      <c r="R35" s="68"/>
      <c r="S35" s="70"/>
    </row>
    <row r="36" spans="2:20" x14ac:dyDescent="0.25">
      <c r="B36" s="2" t="s">
        <v>267</v>
      </c>
      <c r="C36" s="94" t="s">
        <v>135</v>
      </c>
      <c r="D36" s="94" t="s">
        <v>147</v>
      </c>
      <c r="L36" s="5"/>
      <c r="M36" s="68"/>
      <c r="N36" s="68"/>
      <c r="O36" s="68"/>
      <c r="P36" s="29"/>
      <c r="Q36" s="68"/>
      <c r="R36" s="68"/>
      <c r="S36" s="70"/>
    </row>
    <row r="37" spans="2:20" x14ac:dyDescent="0.25">
      <c r="B37" s="2" t="s">
        <v>318</v>
      </c>
      <c r="C37" s="94" t="s">
        <v>135</v>
      </c>
      <c r="D37" s="94" t="s">
        <v>147</v>
      </c>
      <c r="L37" s="5"/>
      <c r="M37" s="68"/>
      <c r="N37" s="68"/>
      <c r="O37" s="68"/>
      <c r="P37" s="29"/>
      <c r="Q37" s="68"/>
      <c r="R37" s="68"/>
      <c r="S37" s="70"/>
    </row>
    <row r="38" spans="2:20" x14ac:dyDescent="0.25">
      <c r="B38" s="2" t="s">
        <v>321</v>
      </c>
      <c r="C38" s="94" t="s">
        <v>135</v>
      </c>
      <c r="D38" s="94" t="s">
        <v>147</v>
      </c>
      <c r="L38" s="5"/>
      <c r="M38" s="68"/>
      <c r="N38" s="68"/>
      <c r="O38" s="68"/>
      <c r="P38" s="29"/>
      <c r="Q38" s="68"/>
      <c r="R38" s="68"/>
      <c r="S38" s="70"/>
    </row>
    <row r="39" spans="2:20" x14ac:dyDescent="0.25">
      <c r="B39" s="2" t="s">
        <v>326</v>
      </c>
      <c r="C39" s="94" t="s">
        <v>135</v>
      </c>
      <c r="D39" s="94" t="s">
        <v>147</v>
      </c>
      <c r="L39" s="5"/>
      <c r="M39" s="68"/>
      <c r="N39" s="68"/>
      <c r="O39" s="68"/>
      <c r="P39" s="29"/>
      <c r="Q39" s="68"/>
      <c r="R39" s="68"/>
      <c r="S39" s="70"/>
    </row>
    <row r="40" spans="2:20" x14ac:dyDescent="0.25">
      <c r="C40" s="94"/>
      <c r="D40" s="94"/>
      <c r="L40" s="5"/>
      <c r="M40" s="68"/>
      <c r="N40" s="68"/>
      <c r="O40" s="68"/>
      <c r="P40" s="29"/>
      <c r="Q40" s="68"/>
      <c r="R40" s="68"/>
      <c r="S40" s="70"/>
    </row>
    <row r="41" spans="2:20" x14ac:dyDescent="0.25">
      <c r="B41" s="269" t="s">
        <v>235</v>
      </c>
      <c r="C41" s="94"/>
      <c r="D41" s="94"/>
      <c r="L41" s="5"/>
      <c r="M41" s="68"/>
      <c r="N41" s="68"/>
      <c r="O41" s="68"/>
      <c r="P41" s="29"/>
      <c r="Q41" s="68"/>
      <c r="R41" s="68"/>
      <c r="S41" s="70"/>
    </row>
    <row r="42" spans="2:20" x14ac:dyDescent="0.25">
      <c r="B42" s="266" t="s">
        <v>236</v>
      </c>
      <c r="C42" s="94"/>
      <c r="D42" s="94"/>
      <c r="L42" s="5"/>
      <c r="M42" s="68"/>
      <c r="N42" s="68"/>
      <c r="O42" s="68"/>
      <c r="P42" s="29"/>
      <c r="Q42" s="68"/>
      <c r="R42" s="68"/>
      <c r="S42" s="70"/>
    </row>
    <row r="43" spans="2:20" ht="15" customHeight="1" x14ac:dyDescent="0.25">
      <c r="B43" s="10"/>
      <c r="C43" s="96"/>
      <c r="D43" s="96"/>
      <c r="E43" s="10"/>
      <c r="F43" s="10"/>
      <c r="G43" s="10"/>
      <c r="H43" s="10"/>
      <c r="I43" s="10"/>
      <c r="J43" s="10"/>
      <c r="K43" s="10"/>
      <c r="L43" s="10"/>
      <c r="M43" s="10"/>
      <c r="N43" s="10"/>
      <c r="O43" s="10"/>
      <c r="P43" s="10"/>
      <c r="Q43" s="10"/>
      <c r="R43" s="10"/>
      <c r="S43" s="28"/>
    </row>
    <row r="44" spans="2:20" ht="15" customHeight="1" x14ac:dyDescent="0.25">
      <c r="N44" s="48"/>
      <c r="O44" s="48"/>
      <c r="P44" s="48"/>
      <c r="Q44" s="59" t="s">
        <v>90</v>
      </c>
      <c r="R44" s="49"/>
      <c r="S44" s="170"/>
      <c r="T44" s="51"/>
    </row>
    <row r="45" spans="2:20" ht="15" customHeight="1" x14ac:dyDescent="0.25">
      <c r="B45" s="17" t="s">
        <v>39</v>
      </c>
      <c r="C45" s="98" t="s">
        <v>2</v>
      </c>
      <c r="D45" s="98"/>
      <c r="E45" s="98" t="s">
        <v>34</v>
      </c>
      <c r="F45" s="98" t="s">
        <v>35</v>
      </c>
      <c r="G45" s="123"/>
      <c r="H45" s="123"/>
      <c r="I45" s="117"/>
      <c r="J45" s="98"/>
      <c r="K45" s="98"/>
      <c r="L45" s="98" t="s">
        <v>36</v>
      </c>
      <c r="M45" s="98" t="s">
        <v>37</v>
      </c>
      <c r="N45" s="10"/>
      <c r="O45" s="10"/>
      <c r="P45" s="10"/>
      <c r="Q45" s="54" t="s">
        <v>88</v>
      </c>
      <c r="R45" s="52"/>
      <c r="S45" s="53"/>
      <c r="T45" s="51"/>
    </row>
    <row r="46" spans="2:20" x14ac:dyDescent="0.25">
      <c r="B46" s="65"/>
      <c r="C46" s="9"/>
      <c r="D46" s="9"/>
      <c r="E46" s="9"/>
      <c r="F46" s="9"/>
      <c r="G46" s="9"/>
      <c r="H46" s="9"/>
      <c r="I46" s="9"/>
      <c r="J46" s="9"/>
      <c r="K46" s="9"/>
      <c r="L46" s="9"/>
      <c r="M46" s="9"/>
      <c r="T46" s="51"/>
    </row>
    <row r="47" spans="2:20" x14ac:dyDescent="0.25">
      <c r="B47" s="65"/>
      <c r="C47" s="9"/>
      <c r="D47" s="9"/>
      <c r="E47" s="9"/>
      <c r="F47" s="9"/>
      <c r="G47" s="9"/>
      <c r="H47" s="9"/>
      <c r="I47" s="9"/>
      <c r="J47" s="9"/>
      <c r="K47" s="9"/>
      <c r="L47" s="9"/>
      <c r="M47" s="9"/>
      <c r="Q47" s="59"/>
      <c r="R47" s="50"/>
      <c r="S47" s="50"/>
      <c r="T47" s="51"/>
    </row>
    <row r="48" spans="2:20" x14ac:dyDescent="0.25">
      <c r="B48" s="65"/>
      <c r="C48" s="9"/>
      <c r="D48" s="9"/>
      <c r="E48" s="9"/>
      <c r="F48" s="9"/>
      <c r="G48" s="9"/>
      <c r="H48" s="9"/>
      <c r="I48" s="9"/>
      <c r="J48" s="9"/>
      <c r="K48" s="9"/>
      <c r="L48" s="9"/>
      <c r="M48" s="9"/>
      <c r="R48" s="50"/>
      <c r="S48" s="50"/>
      <c r="T48" s="51"/>
    </row>
    <row r="49" spans="2:20" x14ac:dyDescent="0.25">
      <c r="B49" s="65"/>
      <c r="C49" s="9"/>
      <c r="D49" s="9"/>
      <c r="E49" s="9"/>
      <c r="F49" s="9"/>
      <c r="G49" s="9"/>
      <c r="H49" s="9"/>
      <c r="I49" s="9"/>
      <c r="J49" s="9"/>
      <c r="K49" s="9"/>
      <c r="L49" s="9"/>
      <c r="M49" s="9"/>
      <c r="Q49" s="59"/>
      <c r="R49" s="50"/>
      <c r="S49" s="50"/>
      <c r="T49" s="51"/>
    </row>
    <row r="50" spans="2:20" x14ac:dyDescent="0.25">
      <c r="B50" s="65"/>
      <c r="C50" s="9"/>
      <c r="D50" s="9"/>
      <c r="E50" s="9"/>
      <c r="F50" s="9"/>
      <c r="G50" s="9"/>
      <c r="H50" s="9"/>
      <c r="I50" s="9"/>
      <c r="J50" s="9"/>
      <c r="K50" s="9"/>
      <c r="L50" s="9"/>
      <c r="M50" s="9"/>
      <c r="Q50" s="325" t="s">
        <v>343</v>
      </c>
      <c r="R50" s="325"/>
      <c r="S50" s="327">
        <f>S18</f>
        <v>198092.59999999998</v>
      </c>
      <c r="T50" s="51"/>
    </row>
    <row r="51" spans="2:20" x14ac:dyDescent="0.25">
      <c r="B51" s="11"/>
      <c r="C51" s="9"/>
      <c r="D51" s="9"/>
      <c r="E51" s="9"/>
      <c r="R51" s="51"/>
      <c r="S51" s="51"/>
    </row>
    <row r="52" spans="2:20" x14ac:dyDescent="0.25">
      <c r="B52" s="12"/>
      <c r="C52" s="13"/>
      <c r="D52" s="13"/>
      <c r="E52" s="41"/>
      <c r="F52" s="15"/>
      <c r="G52" s="15"/>
      <c r="H52" s="15"/>
      <c r="I52" s="15"/>
      <c r="J52" s="15"/>
      <c r="K52" s="15"/>
      <c r="L52" s="16"/>
      <c r="M52" s="31"/>
      <c r="N52" s="18"/>
      <c r="O52" s="18"/>
      <c r="P52" s="18"/>
    </row>
  </sheetData>
  <mergeCells count="7">
    <mergeCell ref="B27:F27"/>
    <mergeCell ref="Q2:S2"/>
    <mergeCell ref="Q1:S1"/>
    <mergeCell ref="B22:F22"/>
    <mergeCell ref="B24:F24"/>
    <mergeCell ref="B26:F26"/>
    <mergeCell ref="B11:B12"/>
  </mergeCells>
  <hyperlinks>
    <hyperlink ref="B27" r:id="rId1"/>
  </hyperlinks>
  <printOptions horizontalCentered="1" gridLines="1"/>
  <pageMargins left="0" right="0" top="0.75" bottom="0.75" header="0.3" footer="0.3"/>
  <pageSetup scale="52" orientation="landscape" horizontalDpi="1200" verticalDpi="1200"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1"/>
  <sheetViews>
    <sheetView topLeftCell="E23" zoomScale="120" zoomScaleNormal="120" workbookViewId="0">
      <selection activeCell="C50" sqref="C50"/>
    </sheetView>
  </sheetViews>
  <sheetFormatPr defaultColWidth="9.140625" defaultRowHeight="15" x14ac:dyDescent="0.25"/>
  <cols>
    <col min="1" max="1" width="8.140625" style="2" hidden="1" customWidth="1"/>
    <col min="2" max="2" width="57.85546875" style="2" customWidth="1"/>
    <col min="3" max="3" width="25" style="2" bestFit="1" customWidth="1"/>
    <col min="4" max="4" width="13.7109375" style="2" customWidth="1"/>
    <col min="5" max="5" width="18" style="2" customWidth="1"/>
    <col min="6" max="6" width="21.28515625" style="2" customWidth="1"/>
    <col min="7" max="7" width="10.140625" style="2" customWidth="1"/>
    <col min="8" max="8" width="14.140625" style="2" customWidth="1"/>
    <col min="9" max="9" width="13.28515625" style="2" customWidth="1"/>
    <col min="10" max="10" width="14.7109375" style="2" customWidth="1"/>
    <col min="11" max="11" width="10.42578125" style="2" customWidth="1"/>
    <col min="12" max="12" width="18.1406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6.7109375" style="2" customWidth="1"/>
    <col min="20" max="16384" width="9.140625" style="2"/>
  </cols>
  <sheetData>
    <row r="1" spans="1:20" ht="18" customHeight="1" x14ac:dyDescent="0.25">
      <c r="A1" s="2" t="s">
        <v>342</v>
      </c>
      <c r="B1" s="1" t="s">
        <v>12</v>
      </c>
      <c r="Q1" s="335" t="s">
        <v>230</v>
      </c>
      <c r="R1" s="335"/>
      <c r="S1" s="335"/>
    </row>
    <row r="2" spans="1:20" ht="18" customHeight="1" x14ac:dyDescent="0.25">
      <c r="B2" s="90" t="s">
        <v>148</v>
      </c>
      <c r="C2" s="187">
        <v>44377</v>
      </c>
      <c r="M2" s="73"/>
      <c r="N2" s="73"/>
      <c r="P2" s="29"/>
      <c r="Q2" s="334" t="s">
        <v>338</v>
      </c>
      <c r="R2" s="334"/>
      <c r="S2" s="334"/>
    </row>
    <row r="3" spans="1:20" ht="18" customHeight="1" thickBot="1" x14ac:dyDescent="0.3">
      <c r="A3" s="2" t="s">
        <v>16</v>
      </c>
      <c r="B3" s="44" t="s">
        <v>66</v>
      </c>
      <c r="C3" s="8"/>
      <c r="D3" s="8"/>
      <c r="E3" s="8"/>
      <c r="P3" s="29"/>
      <c r="Q3" s="45"/>
      <c r="R3" s="30"/>
    </row>
    <row r="4" spans="1:20" ht="18.75" customHeight="1" x14ac:dyDescent="0.25">
      <c r="B4" s="8" t="s">
        <v>174</v>
      </c>
      <c r="M4" s="87" t="s">
        <v>28</v>
      </c>
      <c r="N4" s="87" t="s">
        <v>28</v>
      </c>
      <c r="O4" s="87" t="s">
        <v>28</v>
      </c>
      <c r="P4" s="9"/>
      <c r="Q4" s="91" t="s">
        <v>29</v>
      </c>
      <c r="R4" s="91" t="s">
        <v>31</v>
      </c>
      <c r="S4" s="91" t="s">
        <v>23</v>
      </c>
      <c r="T4" s="7"/>
    </row>
    <row r="5" spans="1:20" ht="15.75" thickBot="1" x14ac:dyDescent="0.3">
      <c r="G5" s="188" t="s">
        <v>231</v>
      </c>
      <c r="H5" s="188" t="s">
        <v>231</v>
      </c>
      <c r="M5" s="88" t="s">
        <v>27</v>
      </c>
      <c r="N5" s="88" t="s">
        <v>26</v>
      </c>
      <c r="O5" s="88" t="s">
        <v>25</v>
      </c>
      <c r="P5" s="9"/>
      <c r="Q5" s="92" t="s">
        <v>30</v>
      </c>
      <c r="R5" s="92" t="s">
        <v>30</v>
      </c>
      <c r="S5" s="92" t="s">
        <v>30</v>
      </c>
      <c r="T5" s="7"/>
    </row>
    <row r="6" spans="1:20" ht="85.5" customHeight="1" thickBot="1" x14ac:dyDescent="0.3">
      <c r="B6" s="86" t="s">
        <v>1</v>
      </c>
      <c r="C6" s="86" t="s">
        <v>127</v>
      </c>
      <c r="D6" s="86" t="s">
        <v>107</v>
      </c>
      <c r="E6" s="86" t="s">
        <v>3</v>
      </c>
      <c r="F6" s="86" t="s">
        <v>4</v>
      </c>
      <c r="G6" s="110" t="s">
        <v>136</v>
      </c>
      <c r="H6" s="110" t="s">
        <v>137</v>
      </c>
      <c r="I6" s="110" t="s">
        <v>133</v>
      </c>
      <c r="J6" s="110" t="s">
        <v>134</v>
      </c>
      <c r="K6" s="110" t="s">
        <v>121</v>
      </c>
      <c r="L6" s="85" t="s">
        <v>5</v>
      </c>
      <c r="M6" s="89" t="s">
        <v>6</v>
      </c>
      <c r="N6" s="89" t="s">
        <v>6</v>
      </c>
      <c r="O6" s="89" t="s">
        <v>6</v>
      </c>
      <c r="P6" s="9"/>
      <c r="Q6" s="93"/>
      <c r="R6" s="99" t="s">
        <v>32</v>
      </c>
      <c r="S6" s="100" t="s">
        <v>33</v>
      </c>
    </row>
    <row r="7" spans="1:20" ht="26.25" hidden="1" customHeight="1" x14ac:dyDescent="0.25">
      <c r="B7" s="2" t="s">
        <v>8</v>
      </c>
      <c r="C7" s="94" t="s">
        <v>106</v>
      </c>
      <c r="D7" s="94" t="s">
        <v>218</v>
      </c>
      <c r="E7" s="2" t="s">
        <v>232</v>
      </c>
      <c r="F7" s="2" t="s">
        <v>7</v>
      </c>
      <c r="G7" s="191">
        <v>2.9600000000000001E-2</v>
      </c>
      <c r="H7" s="191">
        <v>0.1744</v>
      </c>
      <c r="I7" s="192">
        <v>44377</v>
      </c>
      <c r="J7" s="192">
        <v>44378</v>
      </c>
      <c r="K7" s="192">
        <v>44013</v>
      </c>
      <c r="L7" s="193" t="s">
        <v>234</v>
      </c>
      <c r="M7" s="67"/>
      <c r="N7" s="69"/>
      <c r="O7" s="69">
        <f t="shared" ref="O7:O15" si="0">M7+N7</f>
        <v>0</v>
      </c>
      <c r="P7" s="69"/>
      <c r="Q7" s="69"/>
      <c r="R7" s="69"/>
      <c r="S7" s="70">
        <f t="shared" ref="S7:S12" si="1">Q7+R7</f>
        <v>0</v>
      </c>
    </row>
    <row r="8" spans="1:20" ht="35.25" customHeight="1" x14ac:dyDescent="0.25">
      <c r="B8" s="2" t="s">
        <v>128</v>
      </c>
      <c r="C8" s="232" t="s">
        <v>122</v>
      </c>
      <c r="D8" s="95" t="s">
        <v>248</v>
      </c>
      <c r="E8" s="2" t="s">
        <v>233</v>
      </c>
      <c r="F8" s="2" t="s">
        <v>7</v>
      </c>
      <c r="G8" s="191">
        <f>+G7</f>
        <v>2.9600000000000001E-2</v>
      </c>
      <c r="H8" s="191">
        <f t="shared" ref="H8:L8" si="2">+H7</f>
        <v>0.1744</v>
      </c>
      <c r="I8" s="192">
        <f>+I7</f>
        <v>44377</v>
      </c>
      <c r="J8" s="192">
        <f t="shared" si="2"/>
        <v>44378</v>
      </c>
      <c r="K8" s="192">
        <f t="shared" si="2"/>
        <v>44013</v>
      </c>
      <c r="L8" s="193" t="str">
        <f t="shared" si="2"/>
        <v>07/01/20 - 06/30/21</v>
      </c>
      <c r="M8" s="71">
        <v>3280.18</v>
      </c>
      <c r="N8" s="69">
        <f>15545.88+14339.81+10103.82+13842.68+10252.89+6676.95+3753.94+3753.94+10132.64</f>
        <v>88402.55</v>
      </c>
      <c r="O8" s="69">
        <f t="shared" si="0"/>
        <v>91682.73</v>
      </c>
      <c r="P8" s="69"/>
      <c r="Q8" s="69">
        <f>3280.18+15545.88+14339.81+10103.82+13842.68+10252.89+6676.95+3753.94+3753.94+10132.64</f>
        <v>91682.73</v>
      </c>
      <c r="R8" s="69"/>
      <c r="S8" s="70">
        <f t="shared" si="1"/>
        <v>91682.73</v>
      </c>
    </row>
    <row r="9" spans="1:20" ht="30" hidden="1" customHeight="1" x14ac:dyDescent="0.25">
      <c r="B9" s="2" t="s">
        <v>130</v>
      </c>
      <c r="C9" s="97" t="s">
        <v>131</v>
      </c>
      <c r="D9" s="95" t="s">
        <v>249</v>
      </c>
      <c r="E9" s="2" t="s">
        <v>237</v>
      </c>
      <c r="F9" s="2" t="s">
        <v>7</v>
      </c>
      <c r="G9" s="191">
        <f>+G7</f>
        <v>2.9600000000000001E-2</v>
      </c>
      <c r="H9" s="191">
        <f>+H7</f>
        <v>0.1744</v>
      </c>
      <c r="I9" s="192">
        <f>+I7</f>
        <v>44377</v>
      </c>
      <c r="J9" s="192">
        <f t="shared" ref="J9:L9" si="3">+J7</f>
        <v>44378</v>
      </c>
      <c r="K9" s="192">
        <f t="shared" si="3"/>
        <v>44013</v>
      </c>
      <c r="L9" s="193" t="str">
        <f t="shared" si="3"/>
        <v>07/01/20 - 06/30/21</v>
      </c>
      <c r="M9" s="71">
        <v>3280.18</v>
      </c>
      <c r="N9" s="69">
        <v>4964.6400000000003</v>
      </c>
      <c r="O9" s="69">
        <f t="shared" si="0"/>
        <v>8244.82</v>
      </c>
      <c r="P9" s="69"/>
      <c r="Q9" s="69">
        <f>3280.18+4964.64</f>
        <v>8244.82</v>
      </c>
      <c r="R9" s="69"/>
      <c r="S9" s="70">
        <f t="shared" si="1"/>
        <v>8244.82</v>
      </c>
    </row>
    <row r="10" spans="1:20" ht="28.5" customHeight="1" x14ac:dyDescent="0.25">
      <c r="B10" s="2" t="s">
        <v>241</v>
      </c>
      <c r="C10" s="243" t="s">
        <v>242</v>
      </c>
      <c r="D10" s="95" t="s">
        <v>243</v>
      </c>
      <c r="E10" s="2" t="s">
        <v>244</v>
      </c>
      <c r="F10" s="2" t="s">
        <v>7</v>
      </c>
      <c r="G10" s="191">
        <f>+G9</f>
        <v>2.9600000000000001E-2</v>
      </c>
      <c r="H10" s="191">
        <f>+H9</f>
        <v>0.1744</v>
      </c>
      <c r="I10" s="192">
        <v>44834</v>
      </c>
      <c r="J10" s="192">
        <v>44849</v>
      </c>
      <c r="K10" s="192">
        <v>43614</v>
      </c>
      <c r="L10" s="193" t="s">
        <v>311</v>
      </c>
      <c r="M10" s="71">
        <v>6064.77</v>
      </c>
      <c r="N10" s="69"/>
      <c r="O10" s="69">
        <f t="shared" si="0"/>
        <v>6064.77</v>
      </c>
      <c r="P10" s="69"/>
      <c r="Q10" s="69"/>
      <c r="R10" s="69"/>
      <c r="S10" s="70">
        <f t="shared" si="1"/>
        <v>0</v>
      </c>
    </row>
    <row r="11" spans="1:20" ht="30.75" customHeight="1" x14ac:dyDescent="0.25">
      <c r="B11" s="2" t="s">
        <v>283</v>
      </c>
      <c r="C11" s="243" t="s">
        <v>264</v>
      </c>
      <c r="D11" s="95" t="s">
        <v>254</v>
      </c>
      <c r="E11" s="2" t="s">
        <v>284</v>
      </c>
      <c r="F11" s="2" t="s">
        <v>7</v>
      </c>
      <c r="G11" s="191">
        <f t="shared" ref="G11:H11" si="4">+G10</f>
        <v>2.9600000000000001E-2</v>
      </c>
      <c r="H11" s="191">
        <f t="shared" si="4"/>
        <v>0.1744</v>
      </c>
      <c r="I11" s="192">
        <v>44377</v>
      </c>
      <c r="J11" s="192">
        <v>44392</v>
      </c>
      <c r="K11" s="192">
        <v>43613</v>
      </c>
      <c r="L11" s="193" t="s">
        <v>234</v>
      </c>
      <c r="M11" s="81">
        <v>7302.48</v>
      </c>
      <c r="N11" s="69"/>
      <c r="O11" s="69">
        <f t="shared" si="0"/>
        <v>7302.48</v>
      </c>
      <c r="P11" s="69"/>
      <c r="Q11" s="69"/>
      <c r="R11" s="69"/>
      <c r="S11" s="70">
        <f t="shared" si="1"/>
        <v>0</v>
      </c>
    </row>
    <row r="12" spans="1:20" ht="30.75" customHeight="1" x14ac:dyDescent="0.25">
      <c r="B12" s="2" t="s">
        <v>314</v>
      </c>
      <c r="C12" s="243" t="s">
        <v>242</v>
      </c>
      <c r="D12" s="95" t="s">
        <v>243</v>
      </c>
      <c r="E12" s="2" t="s">
        <v>315</v>
      </c>
      <c r="F12" s="2" t="s">
        <v>7</v>
      </c>
      <c r="G12" s="191">
        <f>+G10</f>
        <v>2.9600000000000001E-2</v>
      </c>
      <c r="H12" s="191">
        <f>+H10</f>
        <v>0.1744</v>
      </c>
      <c r="I12" s="192">
        <v>44773</v>
      </c>
      <c r="J12" s="192">
        <v>44788</v>
      </c>
      <c r="K12" s="192">
        <v>43980</v>
      </c>
      <c r="L12" s="193" t="s">
        <v>316</v>
      </c>
      <c r="M12" s="81">
        <v>160.80000000000001</v>
      </c>
      <c r="N12" s="69"/>
      <c r="O12" s="69">
        <f t="shared" si="0"/>
        <v>160.80000000000001</v>
      </c>
      <c r="P12" s="69"/>
      <c r="Q12" s="69"/>
      <c r="R12" s="69"/>
      <c r="S12" s="70">
        <f t="shared" si="1"/>
        <v>0</v>
      </c>
    </row>
    <row r="13" spans="1:20" ht="30.75" customHeight="1" x14ac:dyDescent="0.25">
      <c r="B13" s="2" t="s">
        <v>318</v>
      </c>
      <c r="C13" s="243" t="s">
        <v>242</v>
      </c>
      <c r="D13" s="95" t="s">
        <v>243</v>
      </c>
      <c r="E13" s="2" t="s">
        <v>319</v>
      </c>
      <c r="F13" s="2" t="s">
        <v>7</v>
      </c>
      <c r="G13" s="191">
        <v>2.9600000000000001E-2</v>
      </c>
      <c r="H13" s="191">
        <v>0.1744</v>
      </c>
      <c r="I13" s="192">
        <v>44561</v>
      </c>
      <c r="J13" s="192">
        <v>44576</v>
      </c>
      <c r="K13" s="192">
        <v>43980</v>
      </c>
      <c r="L13" s="193" t="s">
        <v>320</v>
      </c>
      <c r="M13" s="81">
        <v>3000</v>
      </c>
      <c r="N13" s="69"/>
      <c r="O13" s="69">
        <f t="shared" si="0"/>
        <v>3000</v>
      </c>
      <c r="P13" s="68"/>
      <c r="Q13" s="69"/>
      <c r="R13" s="69"/>
      <c r="S13" s="70">
        <f t="shared" ref="S13:S15" si="5">Q13+R13</f>
        <v>0</v>
      </c>
    </row>
    <row r="14" spans="1:20" ht="30.75" customHeight="1" x14ac:dyDescent="0.25">
      <c r="B14" s="2" t="s">
        <v>321</v>
      </c>
      <c r="C14" s="243" t="s">
        <v>264</v>
      </c>
      <c r="D14" s="95" t="s">
        <v>254</v>
      </c>
      <c r="E14" s="2" t="s">
        <v>322</v>
      </c>
      <c r="F14" s="2" t="s">
        <v>7</v>
      </c>
      <c r="G14" s="191">
        <v>2.9600000000000001E-2</v>
      </c>
      <c r="H14" s="191">
        <v>0.1744</v>
      </c>
      <c r="I14" s="192">
        <v>44742</v>
      </c>
      <c r="J14" s="192">
        <v>44757</v>
      </c>
      <c r="K14" s="192">
        <v>43979</v>
      </c>
      <c r="L14" s="193" t="s">
        <v>323</v>
      </c>
      <c r="M14" s="81">
        <v>1027</v>
      </c>
      <c r="N14" s="69"/>
      <c r="O14" s="69">
        <f t="shared" si="0"/>
        <v>1027</v>
      </c>
      <c r="P14" s="68"/>
      <c r="Q14" s="69"/>
      <c r="R14" s="69"/>
      <c r="S14" s="70">
        <f t="shared" si="5"/>
        <v>0</v>
      </c>
    </row>
    <row r="15" spans="1:20" ht="30.75" customHeight="1" x14ac:dyDescent="0.25">
      <c r="B15" s="2" t="s">
        <v>327</v>
      </c>
      <c r="C15" s="243" t="s">
        <v>242</v>
      </c>
      <c r="D15" s="95" t="s">
        <v>328</v>
      </c>
      <c r="E15" s="2" t="s">
        <v>329</v>
      </c>
      <c r="F15" s="2" t="s">
        <v>7</v>
      </c>
      <c r="G15" s="191">
        <v>2.9600000000000001E-2</v>
      </c>
      <c r="H15" s="191">
        <v>0.1744</v>
      </c>
      <c r="I15" s="192">
        <v>44440</v>
      </c>
      <c r="J15" s="192">
        <v>44440</v>
      </c>
      <c r="K15" s="192">
        <v>44201</v>
      </c>
      <c r="L15" s="193" t="s">
        <v>330</v>
      </c>
      <c r="M15" s="81">
        <v>26774.85</v>
      </c>
      <c r="N15" s="69"/>
      <c r="O15" s="69">
        <f t="shared" si="0"/>
        <v>26774.85</v>
      </c>
      <c r="P15" s="68"/>
      <c r="Q15" s="69"/>
      <c r="R15" s="69"/>
      <c r="S15" s="70">
        <f t="shared" si="5"/>
        <v>0</v>
      </c>
    </row>
    <row r="16" spans="1:20" x14ac:dyDescent="0.25">
      <c r="C16" s="95"/>
      <c r="D16" s="95"/>
      <c r="I16" s="119"/>
      <c r="J16" s="119"/>
      <c r="K16" s="119"/>
      <c r="L16" s="95"/>
      <c r="M16" s="25"/>
      <c r="N16" s="25"/>
      <c r="O16" s="25"/>
      <c r="P16" s="29"/>
      <c r="Q16" s="25"/>
      <c r="R16" s="25"/>
      <c r="S16" s="26"/>
    </row>
    <row r="17" spans="2:19" ht="21.75" customHeight="1" x14ac:dyDescent="0.25">
      <c r="B17" s="29"/>
      <c r="C17" s="94"/>
      <c r="D17" s="94"/>
      <c r="L17" s="5" t="s">
        <v>38</v>
      </c>
      <c r="M17" s="68">
        <f>M8+M10+M11+M12+M13+M14+M15</f>
        <v>47610.080000000002</v>
      </c>
      <c r="N17" s="68">
        <f>N8+N10+N11+N12+N13+N14+N15</f>
        <v>88402.55</v>
      </c>
      <c r="O17" s="68">
        <f>O8+O10+O11+O12+O13+O14+O15</f>
        <v>136012.63</v>
      </c>
      <c r="Q17" s="68">
        <f>Q8+Q10+Q11+Q12+Q13+Q14+Q15</f>
        <v>91682.73</v>
      </c>
      <c r="R17" s="68">
        <f>R8+R10+R11+R12+R13+R14+R15</f>
        <v>0</v>
      </c>
      <c r="S17" s="23">
        <f>S8+S10+S11+S12+S13+S14+S15</f>
        <v>91682.73</v>
      </c>
    </row>
    <row r="18" spans="2:19" x14ac:dyDescent="0.25">
      <c r="C18" s="94"/>
      <c r="D18" s="94"/>
      <c r="L18" s="5"/>
      <c r="S18" s="27"/>
    </row>
    <row r="19" spans="2:19" x14ac:dyDescent="0.25">
      <c r="B19" s="8" t="s">
        <v>125</v>
      </c>
      <c r="C19" s="94"/>
      <c r="D19" s="94"/>
      <c r="L19" s="5"/>
      <c r="M19" s="68"/>
      <c r="N19" s="68"/>
      <c r="O19" s="68"/>
      <c r="Q19" s="68"/>
      <c r="R19" s="68"/>
      <c r="S19" s="70"/>
    </row>
    <row r="20" spans="2:19" ht="33" customHeight="1" x14ac:dyDescent="0.25">
      <c r="B20" s="338" t="s">
        <v>126</v>
      </c>
      <c r="C20" s="338"/>
      <c r="D20" s="338"/>
      <c r="E20" s="338"/>
      <c r="F20" s="338"/>
      <c r="G20" s="120"/>
      <c r="H20" s="120"/>
      <c r="I20" s="114"/>
      <c r="L20" s="5"/>
      <c r="M20" s="68"/>
      <c r="N20" s="68"/>
      <c r="O20" s="68"/>
      <c r="Q20" s="68"/>
      <c r="R20" s="68"/>
      <c r="S20" s="70"/>
    </row>
    <row r="21" spans="2:19" x14ac:dyDescent="0.25">
      <c r="C21" s="94"/>
      <c r="D21" s="94"/>
      <c r="L21" s="5"/>
      <c r="M21" s="68"/>
      <c r="N21" s="68"/>
      <c r="O21" s="68"/>
      <c r="Q21" s="68"/>
      <c r="R21" s="68"/>
      <c r="S21" s="70"/>
    </row>
    <row r="22" spans="2:19" ht="70.5" customHeight="1" x14ac:dyDescent="0.25">
      <c r="B22" s="338" t="s">
        <v>129</v>
      </c>
      <c r="C22" s="338"/>
      <c r="D22" s="338"/>
      <c r="E22" s="338"/>
      <c r="F22" s="338"/>
      <c r="G22" s="120"/>
      <c r="H22" s="120"/>
      <c r="I22" s="114"/>
      <c r="L22" s="5"/>
      <c r="M22" s="68"/>
      <c r="N22" s="68"/>
      <c r="O22" s="68"/>
      <c r="Q22" s="68"/>
      <c r="R22" s="68"/>
      <c r="S22" s="70"/>
    </row>
    <row r="23" spans="2:19" x14ac:dyDescent="0.25">
      <c r="B23" s="111"/>
      <c r="C23" s="111"/>
      <c r="D23" s="111"/>
      <c r="E23" s="111"/>
      <c r="F23" s="111"/>
      <c r="G23" s="120"/>
      <c r="H23" s="120"/>
      <c r="I23" s="114"/>
      <c r="L23" s="5"/>
      <c r="M23" s="68"/>
      <c r="N23" s="68"/>
      <c r="O23" s="68"/>
      <c r="Q23" s="68"/>
      <c r="R23" s="68"/>
      <c r="S23" s="70"/>
    </row>
    <row r="24" spans="2:19" ht="30.75" customHeight="1" x14ac:dyDescent="0.25">
      <c r="B24" s="338" t="s">
        <v>160</v>
      </c>
      <c r="C24" s="338"/>
      <c r="D24" s="338"/>
      <c r="E24" s="338"/>
      <c r="F24" s="338"/>
      <c r="G24" s="198"/>
      <c r="H24" s="198"/>
      <c r="I24" s="198"/>
      <c r="L24" s="5"/>
      <c r="M24" s="68"/>
      <c r="N24" s="68"/>
      <c r="O24" s="68"/>
      <c r="Q24" s="68"/>
      <c r="R24" s="68"/>
      <c r="S24" s="70"/>
    </row>
    <row r="25" spans="2:19" ht="19.899999999999999" customHeight="1" x14ac:dyDescent="0.25">
      <c r="B25" s="346" t="s">
        <v>159</v>
      </c>
      <c r="C25" s="338"/>
      <c r="D25" s="338"/>
      <c r="E25" s="338"/>
      <c r="F25" s="338"/>
      <c r="G25" s="198"/>
      <c r="H25" s="198"/>
      <c r="I25" s="198"/>
      <c r="L25" s="5"/>
      <c r="M25" s="68"/>
      <c r="N25" s="68"/>
      <c r="O25" s="68"/>
      <c r="Q25" s="68"/>
      <c r="R25" s="68"/>
      <c r="S25" s="70"/>
    </row>
    <row r="26" spans="2:19" ht="15" customHeight="1" x14ac:dyDescent="0.25">
      <c r="B26" s="200"/>
      <c r="C26" s="200"/>
      <c r="D26" s="200"/>
      <c r="E26" s="200"/>
      <c r="F26" s="200"/>
      <c r="G26" s="200"/>
      <c r="H26" s="200"/>
      <c r="I26" s="200"/>
      <c r="L26" s="5"/>
      <c r="M26" s="68"/>
      <c r="N26" s="68"/>
      <c r="O26" s="68"/>
      <c r="Q26" s="68"/>
      <c r="R26" s="68"/>
      <c r="S26" s="70"/>
    </row>
    <row r="27" spans="2:19" x14ac:dyDescent="0.25">
      <c r="B27" s="7" t="s">
        <v>109</v>
      </c>
      <c r="C27" s="104" t="s">
        <v>112</v>
      </c>
      <c r="D27" s="104" t="s">
        <v>113</v>
      </c>
      <c r="E27" s="111"/>
      <c r="F27" s="111"/>
      <c r="G27" s="120"/>
      <c r="H27" s="120"/>
      <c r="I27" s="114"/>
      <c r="L27" s="5"/>
      <c r="M27" s="68"/>
      <c r="N27" s="68"/>
      <c r="O27" s="68"/>
      <c r="Q27" s="68"/>
      <c r="R27" s="68"/>
      <c r="S27" s="70"/>
    </row>
    <row r="28" spans="2:19" hidden="1" x14ac:dyDescent="0.25">
      <c r="B28" s="2" t="s">
        <v>110</v>
      </c>
      <c r="C28" s="94" t="s">
        <v>116</v>
      </c>
      <c r="D28" s="94" t="s">
        <v>118</v>
      </c>
      <c r="E28" s="111"/>
      <c r="F28" s="111"/>
      <c r="G28" s="120"/>
      <c r="H28" s="120"/>
      <c r="I28" s="114"/>
      <c r="L28" s="5"/>
      <c r="M28" s="68"/>
      <c r="N28" s="68"/>
      <c r="O28" s="68"/>
      <c r="Q28" s="68"/>
      <c r="R28" s="68"/>
      <c r="S28" s="70"/>
    </row>
    <row r="29" spans="2:19" x14ac:dyDescent="0.25">
      <c r="B29" s="2" t="s">
        <v>111</v>
      </c>
      <c r="C29" s="94" t="s">
        <v>114</v>
      </c>
      <c r="D29" s="94" t="s">
        <v>119</v>
      </c>
      <c r="L29" s="5"/>
      <c r="M29" s="68"/>
      <c r="N29" s="68"/>
      <c r="O29" s="68"/>
      <c r="Q29" s="68"/>
      <c r="R29" s="68"/>
      <c r="S29" s="70"/>
    </row>
    <row r="30" spans="2:19" x14ac:dyDescent="0.25">
      <c r="B30" s="2" t="s">
        <v>252</v>
      </c>
      <c r="C30" s="94" t="s">
        <v>135</v>
      </c>
      <c r="D30" s="94" t="s">
        <v>147</v>
      </c>
      <c r="L30" s="5"/>
      <c r="M30" s="68"/>
      <c r="N30" s="68"/>
      <c r="O30" s="68"/>
      <c r="Q30" s="68"/>
      <c r="R30" s="68"/>
      <c r="S30" s="70"/>
    </row>
    <row r="31" spans="2:19" x14ac:dyDescent="0.25">
      <c r="B31" s="2" t="s">
        <v>260</v>
      </c>
      <c r="C31" s="94" t="s">
        <v>135</v>
      </c>
      <c r="D31" s="94" t="s">
        <v>147</v>
      </c>
      <c r="L31" s="5"/>
      <c r="M31" s="68"/>
      <c r="N31" s="68"/>
      <c r="O31" s="68"/>
      <c r="Q31" s="68"/>
      <c r="R31" s="68"/>
      <c r="S31" s="70"/>
    </row>
    <row r="32" spans="2:19" x14ac:dyDescent="0.25">
      <c r="B32" s="2" t="s">
        <v>314</v>
      </c>
      <c r="C32" s="94" t="s">
        <v>135</v>
      </c>
      <c r="D32" s="94" t="s">
        <v>147</v>
      </c>
      <c r="L32" s="5"/>
      <c r="M32" s="68"/>
      <c r="N32" s="68"/>
      <c r="O32" s="68"/>
      <c r="Q32" s="68"/>
      <c r="R32" s="68"/>
      <c r="S32" s="70"/>
    </row>
    <row r="33" spans="2:20" x14ac:dyDescent="0.25">
      <c r="B33" s="2" t="s">
        <v>318</v>
      </c>
      <c r="C33" s="94" t="s">
        <v>135</v>
      </c>
      <c r="D33" s="94" t="s">
        <v>147</v>
      </c>
      <c r="L33" s="5"/>
      <c r="M33" s="68"/>
      <c r="N33" s="68"/>
      <c r="O33" s="68"/>
      <c r="Q33" s="68"/>
      <c r="R33" s="68"/>
      <c r="S33" s="70"/>
    </row>
    <row r="34" spans="2:20" x14ac:dyDescent="0.25">
      <c r="B34" s="2" t="s">
        <v>321</v>
      </c>
      <c r="C34" s="94" t="s">
        <v>135</v>
      </c>
      <c r="D34" s="94" t="s">
        <v>147</v>
      </c>
      <c r="L34" s="5"/>
      <c r="M34" s="68"/>
      <c r="N34" s="68"/>
      <c r="O34" s="68"/>
      <c r="Q34" s="68"/>
      <c r="R34" s="68"/>
      <c r="S34" s="70"/>
    </row>
    <row r="35" spans="2:20" x14ac:dyDescent="0.25">
      <c r="B35" s="2" t="s">
        <v>326</v>
      </c>
      <c r="C35" s="94" t="s">
        <v>135</v>
      </c>
      <c r="D35" s="94" t="s">
        <v>147</v>
      </c>
      <c r="L35" s="5"/>
      <c r="M35" s="68"/>
      <c r="N35" s="68"/>
      <c r="O35" s="68"/>
      <c r="Q35" s="68"/>
      <c r="R35" s="68"/>
      <c r="S35" s="70"/>
    </row>
    <row r="36" spans="2:20" x14ac:dyDescent="0.25">
      <c r="C36" s="94"/>
      <c r="D36" s="94"/>
      <c r="L36" s="5"/>
      <c r="M36" s="68"/>
      <c r="N36" s="68"/>
      <c r="O36" s="68"/>
      <c r="Q36" s="68"/>
      <c r="R36" s="68"/>
      <c r="S36" s="70"/>
    </row>
    <row r="37" spans="2:20" x14ac:dyDescent="0.25">
      <c r="B37" s="269" t="s">
        <v>235</v>
      </c>
      <c r="C37" s="94"/>
      <c r="D37" s="94"/>
      <c r="L37" s="5"/>
      <c r="M37" s="68"/>
      <c r="N37" s="68"/>
      <c r="O37" s="68"/>
      <c r="Q37" s="68"/>
      <c r="R37" s="68"/>
      <c r="S37" s="70"/>
    </row>
    <row r="38" spans="2:20" x14ac:dyDescent="0.25">
      <c r="B38" s="333" t="s">
        <v>236</v>
      </c>
      <c r="C38" s="333"/>
      <c r="D38" s="333"/>
      <c r="E38" s="333"/>
      <c r="F38" s="333"/>
      <c r="G38" s="333"/>
      <c r="H38" s="333"/>
      <c r="L38" s="5"/>
      <c r="M38" s="68"/>
      <c r="N38" s="68"/>
      <c r="O38" s="68"/>
      <c r="Q38" s="68"/>
      <c r="R38" s="68"/>
      <c r="S38" s="70"/>
    </row>
    <row r="39" spans="2:20" ht="15" customHeight="1" x14ac:dyDescent="0.25">
      <c r="B39" s="10"/>
      <c r="C39" s="10"/>
      <c r="D39" s="10"/>
      <c r="E39" s="10"/>
      <c r="F39" s="10"/>
      <c r="G39" s="10"/>
      <c r="H39" s="10"/>
      <c r="I39" s="10"/>
      <c r="J39" s="10"/>
      <c r="K39" s="10"/>
      <c r="L39" s="10"/>
      <c r="M39" s="10"/>
      <c r="N39" s="29"/>
      <c r="O39" s="29"/>
      <c r="P39" s="29"/>
      <c r="Q39" s="29"/>
      <c r="R39" s="29"/>
      <c r="S39" s="27"/>
    </row>
    <row r="40" spans="2:20" ht="15" customHeight="1" x14ac:dyDescent="0.25">
      <c r="N40" s="112"/>
      <c r="O40" s="112"/>
      <c r="P40" s="112"/>
      <c r="Q40" s="171" t="s">
        <v>90</v>
      </c>
      <c r="R40" s="168"/>
      <c r="S40" s="169"/>
    </row>
    <row r="41" spans="2:20" ht="15" customHeight="1" x14ac:dyDescent="0.25">
      <c r="B41" s="17" t="s">
        <v>39</v>
      </c>
      <c r="C41" s="98" t="s">
        <v>2</v>
      </c>
      <c r="D41" s="98"/>
      <c r="E41" s="98" t="s">
        <v>34</v>
      </c>
      <c r="F41" s="98" t="s">
        <v>35</v>
      </c>
      <c r="G41" s="123"/>
      <c r="H41" s="123"/>
      <c r="I41" s="117"/>
      <c r="J41" s="98"/>
      <c r="K41" s="98"/>
      <c r="L41" s="98" t="s">
        <v>36</v>
      </c>
      <c r="M41" s="98" t="s">
        <v>37</v>
      </c>
      <c r="N41" s="47"/>
      <c r="O41" s="47"/>
      <c r="P41" s="47"/>
      <c r="Q41" s="54" t="s">
        <v>88</v>
      </c>
      <c r="R41" s="52"/>
      <c r="S41" s="53"/>
      <c r="T41" s="51"/>
    </row>
    <row r="42" spans="2:20" x14ac:dyDescent="0.25">
      <c r="B42" s="65"/>
      <c r="C42" s="9"/>
      <c r="D42" s="9"/>
      <c r="E42" s="9"/>
      <c r="F42" s="9"/>
      <c r="G42" s="9"/>
      <c r="H42" s="9"/>
      <c r="I42" s="9"/>
      <c r="J42" s="9"/>
      <c r="K42" s="9"/>
      <c r="L42" s="9"/>
      <c r="M42" s="9"/>
      <c r="N42" s="45"/>
      <c r="O42" s="45"/>
      <c r="P42" s="45"/>
      <c r="Q42" s="59"/>
      <c r="R42" s="50"/>
      <c r="S42" s="50"/>
      <c r="T42" s="51"/>
    </row>
    <row r="43" spans="2:20" x14ac:dyDescent="0.25">
      <c r="B43" s="65"/>
      <c r="C43" s="9"/>
      <c r="D43" s="9"/>
      <c r="E43" s="9"/>
      <c r="F43" s="9"/>
      <c r="G43" s="9"/>
      <c r="H43" s="9"/>
      <c r="I43" s="9"/>
      <c r="J43" s="9"/>
      <c r="K43" s="9"/>
      <c r="L43" s="9"/>
      <c r="M43" s="9"/>
      <c r="N43" s="45"/>
      <c r="O43" s="45"/>
      <c r="P43" s="45"/>
      <c r="R43" s="50"/>
      <c r="S43" s="50"/>
      <c r="T43" s="51"/>
    </row>
    <row r="44" spans="2:20" x14ac:dyDescent="0.25">
      <c r="B44" s="65"/>
      <c r="C44" s="9"/>
      <c r="D44" s="9"/>
      <c r="E44" s="9"/>
      <c r="F44" s="9"/>
      <c r="G44" s="9"/>
      <c r="H44" s="9"/>
      <c r="I44" s="9"/>
      <c r="J44" s="9"/>
      <c r="K44" s="9"/>
      <c r="L44" s="9"/>
      <c r="M44" s="9"/>
      <c r="N44" s="45"/>
      <c r="O44" s="45"/>
      <c r="P44" s="45"/>
      <c r="Q44" s="59"/>
      <c r="R44" s="50"/>
      <c r="S44" s="50"/>
      <c r="T44" s="51"/>
    </row>
    <row r="45" spans="2:20" x14ac:dyDescent="0.25">
      <c r="B45" s="65"/>
      <c r="C45" s="9"/>
      <c r="D45" s="9"/>
      <c r="E45" s="9"/>
      <c r="F45" s="9"/>
      <c r="G45" s="9"/>
      <c r="H45" s="9"/>
      <c r="I45" s="9"/>
      <c r="J45" s="9"/>
      <c r="K45" s="9"/>
      <c r="L45" s="9"/>
      <c r="M45" s="9"/>
      <c r="N45" s="45"/>
      <c r="O45" s="45"/>
      <c r="P45" s="45"/>
      <c r="Q45" s="59"/>
      <c r="R45" s="50"/>
      <c r="S45" s="50"/>
      <c r="T45" s="51"/>
    </row>
    <row r="46" spans="2:20" x14ac:dyDescent="0.25">
      <c r="B46" s="65"/>
      <c r="C46" s="9"/>
      <c r="D46" s="9"/>
      <c r="E46" s="9"/>
      <c r="F46" s="9"/>
      <c r="G46" s="9"/>
      <c r="H46" s="9"/>
      <c r="I46" s="9"/>
      <c r="J46" s="9"/>
      <c r="K46" s="9"/>
      <c r="L46" s="9"/>
      <c r="M46" s="9"/>
      <c r="N46" s="45"/>
      <c r="O46" s="45"/>
      <c r="P46" s="45"/>
      <c r="R46" s="51"/>
      <c r="S46" s="51"/>
      <c r="T46" s="51"/>
    </row>
    <row r="47" spans="2:20" x14ac:dyDescent="0.25">
      <c r="B47" s="12"/>
      <c r="C47" s="13"/>
      <c r="D47" s="13"/>
      <c r="E47" s="41"/>
      <c r="F47" s="15"/>
      <c r="G47" s="15"/>
      <c r="H47" s="15"/>
      <c r="I47" s="15"/>
      <c r="J47" s="15"/>
      <c r="K47" s="15"/>
      <c r="L47" s="16"/>
      <c r="M47" s="20"/>
      <c r="N47" s="18"/>
      <c r="O47" s="18"/>
      <c r="P47" s="18"/>
      <c r="T47" s="51"/>
    </row>
    <row r="48" spans="2:20" ht="15" customHeight="1" x14ac:dyDescent="0.25">
      <c r="B48" s="12"/>
      <c r="C48" s="13"/>
      <c r="D48" s="13"/>
      <c r="E48" s="41"/>
      <c r="F48" s="15"/>
      <c r="G48" s="15"/>
      <c r="H48" s="15"/>
      <c r="I48" s="15"/>
      <c r="J48" s="15"/>
      <c r="K48" s="15"/>
      <c r="L48" s="16"/>
      <c r="M48" s="20"/>
      <c r="N48" s="18"/>
      <c r="O48" s="18"/>
      <c r="P48" s="18"/>
    </row>
    <row r="49" spans="2:19" x14ac:dyDescent="0.25">
      <c r="B49" s="36"/>
      <c r="C49" s="40"/>
      <c r="D49" s="40"/>
      <c r="E49" s="41"/>
      <c r="F49" s="38"/>
      <c r="G49" s="38"/>
      <c r="H49" s="38"/>
      <c r="I49" s="38"/>
      <c r="J49" s="38"/>
      <c r="K49" s="38"/>
      <c r="L49" s="39"/>
      <c r="M49" s="34"/>
      <c r="N49" s="107"/>
      <c r="O49" s="29"/>
      <c r="P49" s="29"/>
    </row>
    <row r="50" spans="2:19" x14ac:dyDescent="0.25">
      <c r="C50" s="40"/>
      <c r="D50" s="40"/>
      <c r="E50" s="41"/>
      <c r="F50" s="71"/>
      <c r="G50" s="71"/>
      <c r="H50" s="71"/>
      <c r="I50" s="71"/>
      <c r="J50" s="71"/>
      <c r="K50" s="71"/>
      <c r="L50" s="33"/>
      <c r="M50" s="31"/>
      <c r="N50" s="107"/>
      <c r="Q50" s="325" t="s">
        <v>343</v>
      </c>
      <c r="R50" s="325"/>
      <c r="S50" s="327">
        <f>S17</f>
        <v>91682.73</v>
      </c>
    </row>
    <row r="51" spans="2:19" x14ac:dyDescent="0.25">
      <c r="C51" s="40"/>
      <c r="D51" s="40"/>
      <c r="E51" s="41"/>
      <c r="F51" s="71"/>
      <c r="G51" s="71"/>
      <c r="H51" s="71"/>
      <c r="I51" s="71"/>
      <c r="J51" s="71"/>
      <c r="K51" s="71"/>
      <c r="L51" s="33"/>
      <c r="M51" s="31"/>
      <c r="N51" s="108"/>
    </row>
    <row r="52" spans="2:19" x14ac:dyDescent="0.25">
      <c r="C52" s="40"/>
      <c r="D52" s="40"/>
      <c r="E52" s="41"/>
      <c r="F52" s="71"/>
      <c r="G52" s="71"/>
      <c r="H52" s="71"/>
      <c r="I52" s="71"/>
      <c r="J52" s="71"/>
      <c r="K52" s="71"/>
      <c r="L52" s="33"/>
      <c r="M52" s="35"/>
      <c r="N52" s="37"/>
      <c r="O52" s="37"/>
      <c r="P52" s="29"/>
    </row>
    <row r="53" spans="2:19" ht="15" customHeight="1" x14ac:dyDescent="0.25">
      <c r="B53" s="36"/>
      <c r="C53" s="40"/>
      <c r="D53" s="40"/>
      <c r="E53" s="41"/>
      <c r="F53" s="38"/>
      <c r="G53" s="38"/>
      <c r="H53" s="38"/>
      <c r="I53" s="38"/>
      <c r="J53" s="38"/>
      <c r="K53" s="38"/>
      <c r="L53" s="33"/>
      <c r="M53" s="31"/>
      <c r="N53" s="101"/>
      <c r="O53" s="101"/>
      <c r="P53" s="29"/>
    </row>
    <row r="54" spans="2:19" x14ac:dyDescent="0.25">
      <c r="B54" s="36"/>
      <c r="C54" s="40"/>
      <c r="D54" s="40"/>
      <c r="E54" s="41"/>
      <c r="F54" s="38"/>
      <c r="G54" s="38"/>
      <c r="H54" s="38"/>
      <c r="I54" s="38"/>
      <c r="J54" s="38"/>
      <c r="K54" s="38"/>
      <c r="L54" s="33"/>
      <c r="M54" s="31"/>
      <c r="N54" s="101"/>
      <c r="O54" s="101"/>
      <c r="P54" s="29"/>
    </row>
    <row r="55" spans="2:19" x14ac:dyDescent="0.25">
      <c r="B55" s="36"/>
      <c r="C55" s="40"/>
      <c r="D55" s="40"/>
      <c r="E55" s="41"/>
      <c r="F55" s="38"/>
      <c r="G55" s="38"/>
      <c r="H55" s="38"/>
      <c r="I55" s="38"/>
      <c r="J55" s="38"/>
      <c r="K55" s="38"/>
      <c r="L55" s="33"/>
      <c r="M55" s="31"/>
      <c r="N55" s="101"/>
      <c r="O55" s="101"/>
      <c r="P55" s="29"/>
    </row>
    <row r="56" spans="2:19" ht="16.5" customHeight="1" x14ac:dyDescent="0.25">
      <c r="B56" s="36"/>
      <c r="C56" s="40"/>
      <c r="D56" s="40"/>
      <c r="E56" s="41"/>
      <c r="F56" s="38"/>
      <c r="G56" s="38"/>
      <c r="H56" s="38"/>
      <c r="I56" s="38"/>
      <c r="J56" s="38"/>
      <c r="K56" s="38"/>
      <c r="L56" s="39"/>
      <c r="M56" s="20"/>
      <c r="N56" s="101"/>
      <c r="O56" s="101"/>
      <c r="P56" s="29"/>
    </row>
    <row r="57" spans="2:19" ht="15" hidden="1" customHeight="1" x14ac:dyDescent="0.25"/>
    <row r="58" spans="2:19" ht="15" customHeight="1" x14ac:dyDescent="0.25">
      <c r="E58" s="21"/>
      <c r="F58" s="105"/>
      <c r="G58" s="105"/>
      <c r="H58" s="105"/>
      <c r="I58" s="105"/>
      <c r="J58" s="105"/>
      <c r="K58" s="105"/>
    </row>
    <row r="61" spans="2:19" ht="15" customHeight="1" x14ac:dyDescent="0.25"/>
  </sheetData>
  <mergeCells count="7">
    <mergeCell ref="B38:H38"/>
    <mergeCell ref="B25:F25"/>
    <mergeCell ref="Q2:S2"/>
    <mergeCell ref="Q1:S1"/>
    <mergeCell ref="B22:F22"/>
    <mergeCell ref="B20:F20"/>
    <mergeCell ref="B24:F24"/>
  </mergeCells>
  <hyperlinks>
    <hyperlink ref="B25" r:id="rId1"/>
  </hyperlinks>
  <printOptions horizontalCentered="1" gridLines="1"/>
  <pageMargins left="0" right="0" top="0.75" bottom="0.75" header="0.3" footer="0.3"/>
  <pageSetup scale="52" orientation="landscape" horizontalDpi="1200" verticalDpi="120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1"/>
  <sheetViews>
    <sheetView topLeftCell="F23" zoomScale="120" zoomScaleNormal="120" workbookViewId="0">
      <selection activeCell="C50" sqref="C50"/>
    </sheetView>
  </sheetViews>
  <sheetFormatPr defaultColWidth="9.140625" defaultRowHeight="15" x14ac:dyDescent="0.25"/>
  <cols>
    <col min="1" max="1" width="9.140625" style="2" hidden="1" customWidth="1"/>
    <col min="2" max="2" width="58.5703125" style="2" customWidth="1"/>
    <col min="3" max="3" width="33.28515625" style="2" customWidth="1"/>
    <col min="4" max="4" width="13.7109375" style="2" customWidth="1"/>
    <col min="5" max="5" width="18.5703125" style="2" customWidth="1"/>
    <col min="6" max="6" width="21.85546875" style="2" customWidth="1"/>
    <col min="7" max="7" width="11.7109375" style="2" customWidth="1"/>
    <col min="8" max="8" width="13.140625" style="2" customWidth="1"/>
    <col min="9" max="9" width="13.85546875" style="2" customWidth="1"/>
    <col min="10" max="10" width="16" style="2" customWidth="1"/>
    <col min="11" max="11" width="10.28515625" style="2" customWidth="1"/>
    <col min="12" max="12" width="18.140625" style="2" customWidth="1"/>
    <col min="13" max="13" width="13.28515625" style="2" bestFit="1" customWidth="1"/>
    <col min="14" max="14" width="13.7109375" style="2" customWidth="1"/>
    <col min="15" max="15" width="14.42578125" style="2" customWidth="1"/>
    <col min="16" max="16" width="3.140625" style="2" customWidth="1"/>
    <col min="17" max="17" width="14.7109375" style="2" customWidth="1"/>
    <col min="18" max="18" width="14.140625" style="2" customWidth="1"/>
    <col min="19" max="19" width="16.7109375" style="2" customWidth="1"/>
    <col min="20" max="16384" width="9.140625" style="2"/>
  </cols>
  <sheetData>
    <row r="1" spans="1:20" ht="15.6" customHeight="1" x14ac:dyDescent="0.25">
      <c r="A1" s="2" t="s">
        <v>342</v>
      </c>
      <c r="B1" s="1" t="s">
        <v>168</v>
      </c>
      <c r="Q1" s="335" t="s">
        <v>230</v>
      </c>
      <c r="R1" s="335"/>
      <c r="S1" s="335"/>
    </row>
    <row r="2" spans="1:20" x14ac:dyDescent="0.25">
      <c r="B2" s="90" t="s">
        <v>148</v>
      </c>
      <c r="C2" s="187">
        <v>44377</v>
      </c>
      <c r="M2" s="73"/>
      <c r="N2" s="73"/>
      <c r="P2" s="29"/>
      <c r="Q2" s="334" t="s">
        <v>338</v>
      </c>
      <c r="R2" s="334"/>
      <c r="S2" s="334"/>
    </row>
    <row r="3" spans="1:20" ht="15.75" thickBot="1" x14ac:dyDescent="0.3">
      <c r="A3" s="2" t="s">
        <v>16</v>
      </c>
      <c r="B3" s="44" t="s">
        <v>72</v>
      </c>
      <c r="C3" s="8"/>
      <c r="D3" s="8"/>
      <c r="E3" s="8"/>
      <c r="P3" s="29"/>
      <c r="Q3" s="45"/>
      <c r="R3" s="30"/>
    </row>
    <row r="4" spans="1:20" x14ac:dyDescent="0.25">
      <c r="B4" s="8" t="s">
        <v>174</v>
      </c>
      <c r="M4" s="87" t="s">
        <v>28</v>
      </c>
      <c r="N4" s="87" t="s">
        <v>28</v>
      </c>
      <c r="O4" s="87" t="s">
        <v>28</v>
      </c>
      <c r="P4" s="9"/>
      <c r="Q4" s="91" t="s">
        <v>29</v>
      </c>
      <c r="R4" s="91" t="s">
        <v>31</v>
      </c>
      <c r="S4" s="91" t="s">
        <v>23</v>
      </c>
      <c r="T4" s="7"/>
    </row>
    <row r="5" spans="1:20" ht="15.75" thickBot="1" x14ac:dyDescent="0.3">
      <c r="G5" s="188" t="s">
        <v>231</v>
      </c>
      <c r="H5" s="188" t="s">
        <v>231</v>
      </c>
      <c r="M5" s="88" t="s">
        <v>27</v>
      </c>
      <c r="N5" s="88" t="s">
        <v>26</v>
      </c>
      <c r="O5" s="88" t="s">
        <v>25</v>
      </c>
      <c r="P5" s="9"/>
      <c r="Q5" s="92" t="s">
        <v>30</v>
      </c>
      <c r="R5" s="92" t="s">
        <v>30</v>
      </c>
      <c r="S5" s="92" t="s">
        <v>30</v>
      </c>
      <c r="T5" s="7"/>
    </row>
    <row r="6" spans="1:20" ht="85.5" customHeight="1" thickBot="1" x14ac:dyDescent="0.3">
      <c r="B6" s="86" t="s">
        <v>1</v>
      </c>
      <c r="C6" s="86" t="s">
        <v>127</v>
      </c>
      <c r="D6" s="86" t="s">
        <v>107</v>
      </c>
      <c r="E6" s="86" t="s">
        <v>3</v>
      </c>
      <c r="F6" s="86" t="s">
        <v>4</v>
      </c>
      <c r="G6" s="110" t="s">
        <v>136</v>
      </c>
      <c r="H6" s="110" t="s">
        <v>137</v>
      </c>
      <c r="I6" s="110" t="s">
        <v>133</v>
      </c>
      <c r="J6" s="110" t="s">
        <v>134</v>
      </c>
      <c r="K6" s="110" t="s">
        <v>121</v>
      </c>
      <c r="L6" s="85" t="s">
        <v>5</v>
      </c>
      <c r="M6" s="89" t="s">
        <v>6</v>
      </c>
      <c r="N6" s="89" t="s">
        <v>6</v>
      </c>
      <c r="O6" s="89" t="s">
        <v>6</v>
      </c>
      <c r="P6" s="9"/>
      <c r="Q6" s="93"/>
      <c r="R6" s="99" t="s">
        <v>32</v>
      </c>
      <c r="S6" s="100" t="s">
        <v>33</v>
      </c>
    </row>
    <row r="7" spans="1:20" ht="32.450000000000003" customHeight="1" x14ac:dyDescent="0.25">
      <c r="B7" s="2" t="s">
        <v>128</v>
      </c>
      <c r="C7" s="97" t="s">
        <v>122</v>
      </c>
      <c r="D7" s="95" t="s">
        <v>248</v>
      </c>
      <c r="E7" s="2" t="s">
        <v>232</v>
      </c>
      <c r="F7" s="2" t="s">
        <v>7</v>
      </c>
      <c r="G7" s="191">
        <v>2.9600000000000001E-2</v>
      </c>
      <c r="H7" s="191">
        <v>0.1744</v>
      </c>
      <c r="I7" s="192">
        <v>44377</v>
      </c>
      <c r="J7" s="192">
        <v>44378</v>
      </c>
      <c r="K7" s="192">
        <v>44013</v>
      </c>
      <c r="L7" s="193" t="s">
        <v>234</v>
      </c>
      <c r="M7" s="72">
        <v>427022.58</v>
      </c>
      <c r="N7" s="72"/>
      <c r="O7" s="69">
        <f>M7+N7</f>
        <v>427022.58</v>
      </c>
      <c r="P7" s="42"/>
      <c r="Q7" s="43">
        <v>427022.58</v>
      </c>
      <c r="R7" s="69">
        <v>0</v>
      </c>
      <c r="S7" s="70">
        <f>Q7+R7</f>
        <v>427022.58</v>
      </c>
    </row>
    <row r="8" spans="1:20" ht="30" customHeight="1" x14ac:dyDescent="0.25">
      <c r="B8" s="2" t="s">
        <v>130</v>
      </c>
      <c r="C8" s="97" t="s">
        <v>131</v>
      </c>
      <c r="D8" s="95" t="s">
        <v>249</v>
      </c>
      <c r="E8" s="2" t="s">
        <v>233</v>
      </c>
      <c r="F8" s="2" t="s">
        <v>7</v>
      </c>
      <c r="G8" s="191">
        <f t="shared" ref="G8:L10" si="0">+G7</f>
        <v>2.9600000000000001E-2</v>
      </c>
      <c r="H8" s="191">
        <f t="shared" si="0"/>
        <v>0.1744</v>
      </c>
      <c r="I8" s="192">
        <f t="shared" si="0"/>
        <v>44377</v>
      </c>
      <c r="J8" s="192">
        <f t="shared" si="0"/>
        <v>44378</v>
      </c>
      <c r="K8" s="192">
        <f t="shared" si="0"/>
        <v>44013</v>
      </c>
      <c r="L8" s="193" t="str">
        <f t="shared" si="0"/>
        <v>07/01/20 - 06/30/21</v>
      </c>
      <c r="M8" s="72">
        <v>7356.38</v>
      </c>
      <c r="N8" s="72"/>
      <c r="O8" s="69">
        <f>M8+N8</f>
        <v>7356.38</v>
      </c>
      <c r="P8" s="42"/>
      <c r="Q8" s="43">
        <v>7356.38</v>
      </c>
      <c r="R8" s="69"/>
      <c r="S8" s="70">
        <f>Q8+R8</f>
        <v>7356.38</v>
      </c>
    </row>
    <row r="9" spans="1:20" ht="30" customHeight="1" x14ac:dyDescent="0.25">
      <c r="B9" s="2" t="s">
        <v>241</v>
      </c>
      <c r="C9" s="243" t="s">
        <v>242</v>
      </c>
      <c r="D9" s="95" t="s">
        <v>243</v>
      </c>
      <c r="E9" s="2" t="s">
        <v>244</v>
      </c>
      <c r="F9" s="2" t="s">
        <v>7</v>
      </c>
      <c r="G9" s="191">
        <f t="shared" si="0"/>
        <v>2.9600000000000001E-2</v>
      </c>
      <c r="H9" s="191">
        <f t="shared" si="0"/>
        <v>0.1744</v>
      </c>
      <c r="I9" s="192">
        <v>44834</v>
      </c>
      <c r="J9" s="192">
        <v>44849</v>
      </c>
      <c r="K9" s="192">
        <v>43614</v>
      </c>
      <c r="L9" s="193" t="s">
        <v>311</v>
      </c>
      <c r="M9" s="72">
        <v>28106.04</v>
      </c>
      <c r="N9" s="72"/>
      <c r="O9" s="69">
        <f>M9+N9</f>
        <v>28106.04</v>
      </c>
      <c r="P9" s="42"/>
      <c r="Q9" s="43"/>
      <c r="R9" s="69"/>
      <c r="S9" s="70">
        <f>Q9+R9</f>
        <v>0</v>
      </c>
    </row>
    <row r="10" spans="1:20" ht="30" customHeight="1" x14ac:dyDescent="0.25">
      <c r="B10" s="2" t="s">
        <v>283</v>
      </c>
      <c r="C10" s="243" t="s">
        <v>264</v>
      </c>
      <c r="D10" s="95" t="s">
        <v>254</v>
      </c>
      <c r="E10" s="2" t="s">
        <v>284</v>
      </c>
      <c r="F10" s="2" t="s">
        <v>7</v>
      </c>
      <c r="G10" s="191">
        <f t="shared" si="0"/>
        <v>2.9600000000000001E-2</v>
      </c>
      <c r="H10" s="191">
        <f t="shared" si="0"/>
        <v>0.1744</v>
      </c>
      <c r="I10" s="192">
        <v>44377</v>
      </c>
      <c r="J10" s="192">
        <v>44392</v>
      </c>
      <c r="K10" s="192">
        <v>43613</v>
      </c>
      <c r="L10" s="193" t="s">
        <v>234</v>
      </c>
      <c r="M10" s="81">
        <v>7302.48</v>
      </c>
      <c r="N10" s="72"/>
      <c r="O10" s="69">
        <f>M10+N10</f>
        <v>7302.48</v>
      </c>
      <c r="P10" s="42"/>
      <c r="Q10" s="43"/>
      <c r="R10" s="69"/>
      <c r="S10" s="70">
        <f>Q10+R10</f>
        <v>0</v>
      </c>
    </row>
    <row r="11" spans="1:20" ht="30" customHeight="1" x14ac:dyDescent="0.25">
      <c r="B11" s="2" t="s">
        <v>314</v>
      </c>
      <c r="C11" s="243" t="s">
        <v>242</v>
      </c>
      <c r="D11" s="95" t="s">
        <v>243</v>
      </c>
      <c r="E11" s="2" t="s">
        <v>315</v>
      </c>
      <c r="F11" s="2" t="s">
        <v>7</v>
      </c>
      <c r="G11" s="191">
        <f>+G9</f>
        <v>2.9600000000000001E-2</v>
      </c>
      <c r="H11" s="191">
        <f>+H9</f>
        <v>0.1744</v>
      </c>
      <c r="I11" s="192">
        <v>44773</v>
      </c>
      <c r="J11" s="192">
        <v>44788</v>
      </c>
      <c r="K11" s="192">
        <v>43980</v>
      </c>
      <c r="L11" s="193" t="s">
        <v>316</v>
      </c>
      <c r="M11" s="81">
        <v>1438.94</v>
      </c>
      <c r="N11" s="72"/>
      <c r="O11" s="69">
        <f>M11+N11</f>
        <v>1438.94</v>
      </c>
      <c r="P11" s="42"/>
      <c r="Q11" s="43"/>
      <c r="R11" s="69"/>
      <c r="S11" s="70">
        <f>Q11+R11</f>
        <v>0</v>
      </c>
    </row>
    <row r="12" spans="1:20" ht="30" customHeight="1" x14ac:dyDescent="0.25">
      <c r="B12" s="2" t="s">
        <v>318</v>
      </c>
      <c r="C12" s="243" t="s">
        <v>242</v>
      </c>
      <c r="D12" s="95" t="s">
        <v>243</v>
      </c>
      <c r="E12" s="2" t="s">
        <v>319</v>
      </c>
      <c r="F12" s="2" t="s">
        <v>7</v>
      </c>
      <c r="G12" s="191">
        <v>2.9600000000000001E-2</v>
      </c>
      <c r="H12" s="191">
        <v>0.1744</v>
      </c>
      <c r="I12" s="192">
        <v>44561</v>
      </c>
      <c r="J12" s="192">
        <v>44576</v>
      </c>
      <c r="K12" s="192">
        <v>43980</v>
      </c>
      <c r="L12" s="193" t="s">
        <v>320</v>
      </c>
      <c r="M12" s="81">
        <v>3000</v>
      </c>
      <c r="N12" s="69"/>
      <c r="O12" s="69">
        <f t="shared" ref="O12:O14" si="1">M12+N12</f>
        <v>3000</v>
      </c>
      <c r="P12" s="68"/>
      <c r="Q12" s="69"/>
      <c r="R12" s="69"/>
      <c r="S12" s="70">
        <f t="shared" ref="S12:S14" si="2">Q12+R12</f>
        <v>0</v>
      </c>
    </row>
    <row r="13" spans="1:20" ht="30" customHeight="1" x14ac:dyDescent="0.25">
      <c r="B13" s="2" t="s">
        <v>321</v>
      </c>
      <c r="C13" s="243" t="s">
        <v>264</v>
      </c>
      <c r="D13" s="95" t="s">
        <v>254</v>
      </c>
      <c r="E13" s="2" t="s">
        <v>322</v>
      </c>
      <c r="F13" s="2" t="s">
        <v>7</v>
      </c>
      <c r="G13" s="191">
        <v>2.9600000000000001E-2</v>
      </c>
      <c r="H13" s="191">
        <v>0.1744</v>
      </c>
      <c r="I13" s="192">
        <v>44742</v>
      </c>
      <c r="J13" s="192">
        <v>44757</v>
      </c>
      <c r="K13" s="192">
        <v>43979</v>
      </c>
      <c r="L13" s="193" t="s">
        <v>323</v>
      </c>
      <c r="M13" s="81">
        <v>1027</v>
      </c>
      <c r="N13" s="69"/>
      <c r="O13" s="69">
        <f t="shared" si="1"/>
        <v>1027</v>
      </c>
      <c r="P13" s="68"/>
      <c r="Q13" s="69"/>
      <c r="R13" s="69"/>
      <c r="S13" s="70">
        <f t="shared" si="2"/>
        <v>0</v>
      </c>
    </row>
    <row r="14" spans="1:20" ht="30" customHeight="1" x14ac:dyDescent="0.25">
      <c r="B14" s="2" t="s">
        <v>327</v>
      </c>
      <c r="C14" s="243" t="s">
        <v>242</v>
      </c>
      <c r="D14" s="95" t="s">
        <v>328</v>
      </c>
      <c r="E14" s="2" t="s">
        <v>329</v>
      </c>
      <c r="F14" s="2" t="s">
        <v>7</v>
      </c>
      <c r="G14" s="191">
        <v>2.9600000000000001E-2</v>
      </c>
      <c r="H14" s="191">
        <v>0.1744</v>
      </c>
      <c r="I14" s="192">
        <v>44440</v>
      </c>
      <c r="J14" s="192">
        <v>44440</v>
      </c>
      <c r="K14" s="192">
        <v>44201</v>
      </c>
      <c r="L14" s="193" t="s">
        <v>330</v>
      </c>
      <c r="M14" s="81">
        <v>53655.28</v>
      </c>
      <c r="N14" s="69"/>
      <c r="O14" s="69">
        <f t="shared" si="1"/>
        <v>53655.28</v>
      </c>
      <c r="P14" s="68"/>
      <c r="Q14" s="69"/>
      <c r="R14" s="69"/>
      <c r="S14" s="70">
        <f t="shared" si="2"/>
        <v>0</v>
      </c>
    </row>
    <row r="15" spans="1:20" x14ac:dyDescent="0.25">
      <c r="C15" s="95"/>
      <c r="D15" s="95"/>
      <c r="G15" s="207"/>
      <c r="H15" s="191" t="s">
        <v>100</v>
      </c>
      <c r="I15" s="192"/>
      <c r="J15" s="192"/>
      <c r="K15" s="192"/>
      <c r="L15" s="193"/>
      <c r="M15" s="25"/>
      <c r="N15" s="25"/>
      <c r="O15" s="25"/>
      <c r="P15" s="29"/>
      <c r="Q15" s="25"/>
      <c r="R15" s="25"/>
      <c r="S15" s="26"/>
    </row>
    <row r="16" spans="1:20" ht="22.5" customHeight="1" x14ac:dyDescent="0.25">
      <c r="B16" s="29"/>
      <c r="C16" s="94"/>
      <c r="D16" s="94"/>
      <c r="I16" s="119"/>
      <c r="J16" s="119"/>
      <c r="K16" s="119"/>
      <c r="L16" s="5" t="s">
        <v>38</v>
      </c>
      <c r="M16" s="68">
        <f>SUM(M7:M15)</f>
        <v>528908.69999999995</v>
      </c>
      <c r="N16" s="68">
        <f t="shared" ref="N16:O16" si="3">SUM(N7:N15)</f>
        <v>0</v>
      </c>
      <c r="O16" s="68">
        <f t="shared" si="3"/>
        <v>528908.69999999995</v>
      </c>
      <c r="P16" s="68"/>
      <c r="Q16" s="68">
        <f t="shared" ref="Q16:S16" si="4">SUM(Q7:Q15)</f>
        <v>434378.96</v>
      </c>
      <c r="R16" s="68">
        <f t="shared" si="4"/>
        <v>0</v>
      </c>
      <c r="S16" s="23">
        <f t="shared" si="4"/>
        <v>434378.96</v>
      </c>
    </row>
    <row r="17" spans="2:19" x14ac:dyDescent="0.25">
      <c r="B17" s="29"/>
      <c r="C17" s="94"/>
      <c r="D17" s="94"/>
      <c r="I17" s="119"/>
      <c r="J17" s="119"/>
      <c r="K17" s="119"/>
      <c r="L17" s="5"/>
      <c r="M17" s="68"/>
      <c r="N17" s="68"/>
      <c r="O17" s="68"/>
      <c r="P17" s="68"/>
      <c r="Q17" s="68"/>
      <c r="R17" s="68"/>
      <c r="S17" s="70"/>
    </row>
    <row r="18" spans="2:19" x14ac:dyDescent="0.25">
      <c r="C18" s="94"/>
      <c r="D18" s="94"/>
      <c r="L18" s="5"/>
      <c r="M18" s="68"/>
      <c r="N18" s="68"/>
      <c r="O18" s="68"/>
      <c r="Q18" s="68"/>
      <c r="R18" s="68"/>
      <c r="S18" s="70"/>
    </row>
    <row r="19" spans="2:19" x14ac:dyDescent="0.25">
      <c r="B19" s="8" t="s">
        <v>125</v>
      </c>
      <c r="C19" s="94"/>
      <c r="D19" s="94"/>
      <c r="L19" s="5"/>
      <c r="M19" s="68"/>
      <c r="N19" s="68"/>
      <c r="O19" s="68"/>
      <c r="Q19" s="68"/>
      <c r="R19" s="68"/>
      <c r="S19" s="70"/>
    </row>
    <row r="20" spans="2:19" ht="33" customHeight="1" x14ac:dyDescent="0.25">
      <c r="B20" s="338" t="s">
        <v>126</v>
      </c>
      <c r="C20" s="338"/>
      <c r="D20" s="338"/>
      <c r="E20" s="338"/>
      <c r="F20" s="338"/>
      <c r="G20" s="120"/>
      <c r="H20" s="120"/>
      <c r="I20" s="114"/>
      <c r="L20" s="5"/>
      <c r="M20" s="68"/>
      <c r="N20" s="68"/>
      <c r="O20" s="68"/>
      <c r="Q20" s="68"/>
      <c r="R20" s="68"/>
      <c r="S20" s="70"/>
    </row>
    <row r="21" spans="2:19" x14ac:dyDescent="0.25">
      <c r="C21" s="94"/>
      <c r="D21" s="94"/>
      <c r="L21" s="5"/>
      <c r="M21" s="68"/>
      <c r="N21" s="68"/>
      <c r="O21" s="68"/>
      <c r="Q21" s="68"/>
      <c r="R21" s="68"/>
      <c r="S21" s="70"/>
    </row>
    <row r="22" spans="2:19" ht="45.75" customHeight="1" x14ac:dyDescent="0.25">
      <c r="B22" s="338" t="s">
        <v>129</v>
      </c>
      <c r="C22" s="338"/>
      <c r="D22" s="338"/>
      <c r="E22" s="338"/>
      <c r="F22" s="338"/>
      <c r="G22" s="120"/>
      <c r="H22" s="120"/>
      <c r="I22" s="114"/>
      <c r="L22" s="5"/>
      <c r="M22" s="68"/>
      <c r="N22" s="68"/>
      <c r="O22" s="68"/>
      <c r="Q22" s="68"/>
      <c r="R22" s="68"/>
      <c r="S22" s="70"/>
    </row>
    <row r="23" spans="2:19" x14ac:dyDescent="0.25">
      <c r="B23" s="111"/>
      <c r="C23" s="111"/>
      <c r="D23" s="111"/>
      <c r="E23" s="111"/>
      <c r="F23" s="111"/>
      <c r="G23" s="120"/>
      <c r="H23" s="120"/>
      <c r="I23" s="114"/>
      <c r="L23" s="5"/>
      <c r="M23" s="68"/>
      <c r="N23" s="68"/>
      <c r="O23" s="68"/>
      <c r="Q23" s="68"/>
      <c r="R23" s="68"/>
      <c r="S23" s="70"/>
    </row>
    <row r="24" spans="2:19" ht="31.5" customHeight="1" x14ac:dyDescent="0.25">
      <c r="B24" s="338" t="s">
        <v>160</v>
      </c>
      <c r="C24" s="338"/>
      <c r="D24" s="338"/>
      <c r="E24" s="338"/>
      <c r="F24" s="338"/>
      <c r="G24" s="198"/>
      <c r="H24" s="198"/>
      <c r="I24" s="198"/>
      <c r="L24" s="5"/>
      <c r="M24" s="68"/>
      <c r="N24" s="68"/>
      <c r="O24" s="68"/>
      <c r="Q24" s="68"/>
      <c r="R24" s="68"/>
      <c r="S24" s="70"/>
    </row>
    <row r="25" spans="2:19" ht="15" customHeight="1" x14ac:dyDescent="0.25">
      <c r="B25" s="346" t="s">
        <v>159</v>
      </c>
      <c r="C25" s="338"/>
      <c r="D25" s="338"/>
      <c r="E25" s="338"/>
      <c r="F25" s="338"/>
      <c r="G25" s="198"/>
      <c r="H25" s="198"/>
      <c r="I25" s="198"/>
      <c r="L25" s="5"/>
      <c r="M25" s="68"/>
      <c r="N25" s="68"/>
      <c r="O25" s="68"/>
      <c r="Q25" s="68"/>
      <c r="R25" s="68"/>
      <c r="S25" s="70"/>
    </row>
    <row r="26" spans="2:19" ht="15" customHeight="1" x14ac:dyDescent="0.25">
      <c r="B26" s="200"/>
      <c r="C26" s="200"/>
      <c r="D26" s="200"/>
      <c r="E26" s="200"/>
      <c r="F26" s="200"/>
      <c r="G26" s="200"/>
      <c r="H26" s="200"/>
      <c r="I26" s="200"/>
      <c r="L26" s="5"/>
      <c r="M26" s="68"/>
      <c r="N26" s="68"/>
      <c r="O26" s="68"/>
      <c r="Q26" s="68"/>
      <c r="R26" s="68"/>
      <c r="S26" s="70"/>
    </row>
    <row r="27" spans="2:19" x14ac:dyDescent="0.25">
      <c r="B27" s="7" t="s">
        <v>109</v>
      </c>
      <c r="C27" s="104" t="s">
        <v>112</v>
      </c>
      <c r="D27" s="104" t="s">
        <v>113</v>
      </c>
      <c r="E27" s="111"/>
      <c r="F27" s="111"/>
      <c r="G27" s="120"/>
      <c r="H27" s="120"/>
      <c r="I27" s="114"/>
      <c r="L27" s="5"/>
      <c r="M27" s="68"/>
      <c r="N27" s="68"/>
      <c r="O27" s="68"/>
      <c r="Q27" s="68"/>
      <c r="R27" s="68"/>
      <c r="S27" s="70"/>
    </row>
    <row r="28" spans="2:19" x14ac:dyDescent="0.25">
      <c r="C28" s="94"/>
      <c r="D28" s="94"/>
      <c r="E28" s="111"/>
      <c r="F28" s="111"/>
      <c r="G28" s="120"/>
      <c r="H28" s="120"/>
      <c r="I28" s="114"/>
      <c r="L28" s="5"/>
      <c r="M28" s="68"/>
      <c r="N28" s="68"/>
      <c r="O28" s="68"/>
      <c r="Q28" s="68"/>
      <c r="R28" s="68"/>
      <c r="S28" s="70"/>
    </row>
    <row r="29" spans="2:19" x14ac:dyDescent="0.25">
      <c r="B29" s="2" t="s">
        <v>111</v>
      </c>
      <c r="C29" s="94" t="s">
        <v>114</v>
      </c>
      <c r="D29" s="94" t="s">
        <v>119</v>
      </c>
      <c r="L29" s="5"/>
      <c r="M29" s="68"/>
      <c r="N29" s="68"/>
      <c r="O29" s="68"/>
      <c r="Q29" s="68"/>
      <c r="R29" s="68"/>
      <c r="S29" s="70"/>
    </row>
    <row r="30" spans="2:19" x14ac:dyDescent="0.25">
      <c r="B30" s="2" t="s">
        <v>252</v>
      </c>
      <c r="C30" s="94" t="s">
        <v>135</v>
      </c>
      <c r="D30" s="94" t="s">
        <v>147</v>
      </c>
      <c r="L30" s="5"/>
      <c r="M30" s="68"/>
      <c r="N30" s="68"/>
      <c r="O30" s="68"/>
      <c r="Q30" s="68"/>
      <c r="R30" s="68"/>
      <c r="S30" s="70"/>
    </row>
    <row r="31" spans="2:19" x14ac:dyDescent="0.25">
      <c r="B31" s="2" t="s">
        <v>260</v>
      </c>
      <c r="C31" s="94" t="s">
        <v>135</v>
      </c>
      <c r="D31" s="94" t="s">
        <v>147</v>
      </c>
      <c r="L31" s="5"/>
      <c r="M31" s="68"/>
      <c r="N31" s="68"/>
      <c r="O31" s="68"/>
      <c r="Q31" s="68"/>
      <c r="R31" s="68"/>
      <c r="S31" s="70"/>
    </row>
    <row r="32" spans="2:19" x14ac:dyDescent="0.25">
      <c r="B32" s="2" t="s">
        <v>314</v>
      </c>
      <c r="C32" s="94" t="s">
        <v>135</v>
      </c>
      <c r="D32" s="94" t="s">
        <v>147</v>
      </c>
      <c r="L32" s="5"/>
      <c r="M32" s="68"/>
      <c r="N32" s="68"/>
      <c r="O32" s="68"/>
      <c r="Q32" s="68"/>
      <c r="R32" s="68"/>
      <c r="S32" s="70"/>
    </row>
    <row r="33" spans="2:20" x14ac:dyDescent="0.25">
      <c r="B33" s="2" t="s">
        <v>318</v>
      </c>
      <c r="C33" s="94" t="s">
        <v>135</v>
      </c>
      <c r="D33" s="94" t="s">
        <v>147</v>
      </c>
      <c r="L33" s="5"/>
      <c r="M33" s="68"/>
      <c r="N33" s="68"/>
      <c r="O33" s="68"/>
      <c r="Q33" s="68"/>
      <c r="R33" s="68"/>
      <c r="S33" s="70"/>
    </row>
    <row r="34" spans="2:20" x14ac:dyDescent="0.25">
      <c r="B34" s="2" t="s">
        <v>321</v>
      </c>
      <c r="C34" s="94" t="s">
        <v>135</v>
      </c>
      <c r="D34" s="94" t="s">
        <v>147</v>
      </c>
      <c r="L34" s="5"/>
      <c r="M34" s="68"/>
      <c r="N34" s="68"/>
      <c r="O34" s="68"/>
      <c r="Q34" s="68"/>
      <c r="R34" s="68"/>
      <c r="S34" s="70"/>
    </row>
    <row r="35" spans="2:20" x14ac:dyDescent="0.25">
      <c r="B35" s="2" t="s">
        <v>326</v>
      </c>
      <c r="C35" s="94" t="s">
        <v>135</v>
      </c>
      <c r="D35" s="94" t="s">
        <v>147</v>
      </c>
      <c r="L35" s="5"/>
      <c r="M35" s="68"/>
      <c r="N35" s="68"/>
      <c r="O35" s="68"/>
      <c r="Q35" s="68"/>
      <c r="R35" s="68"/>
      <c r="S35" s="70"/>
    </row>
    <row r="36" spans="2:20" x14ac:dyDescent="0.25">
      <c r="C36" s="94"/>
      <c r="D36" s="94"/>
      <c r="L36" s="5"/>
      <c r="M36" s="68"/>
      <c r="N36" s="68"/>
      <c r="O36" s="68"/>
      <c r="Q36" s="68"/>
      <c r="R36" s="68"/>
      <c r="S36" s="70"/>
    </row>
    <row r="37" spans="2:20" x14ac:dyDescent="0.25">
      <c r="B37" s="269" t="s">
        <v>235</v>
      </c>
      <c r="C37" s="94"/>
      <c r="D37" s="94"/>
      <c r="L37" s="5"/>
      <c r="M37" s="68"/>
      <c r="N37" s="68"/>
      <c r="O37" s="68"/>
      <c r="Q37" s="68"/>
      <c r="R37" s="68"/>
      <c r="S37" s="70"/>
    </row>
    <row r="38" spans="2:20" x14ac:dyDescent="0.25">
      <c r="B38" s="333" t="s">
        <v>236</v>
      </c>
      <c r="C38" s="333"/>
      <c r="D38" s="333"/>
      <c r="E38" s="333"/>
      <c r="F38" s="333"/>
      <c r="G38" s="333"/>
      <c r="H38" s="333"/>
      <c r="L38" s="5"/>
      <c r="M38" s="68"/>
      <c r="N38" s="68"/>
      <c r="O38" s="68"/>
      <c r="Q38" s="68"/>
      <c r="R38" s="68"/>
      <c r="S38" s="70"/>
    </row>
    <row r="39" spans="2:20" ht="15" customHeight="1" x14ac:dyDescent="0.25">
      <c r="B39" s="10"/>
      <c r="C39" s="10"/>
      <c r="D39" s="10"/>
      <c r="E39" s="10"/>
      <c r="F39" s="10"/>
      <c r="G39" s="10"/>
      <c r="H39" s="10"/>
      <c r="I39" s="10"/>
      <c r="J39" s="10"/>
      <c r="K39" s="10"/>
      <c r="L39" s="10"/>
      <c r="M39" s="10"/>
      <c r="N39" s="29"/>
      <c r="O39" s="29"/>
      <c r="P39" s="29"/>
      <c r="Q39" s="29"/>
      <c r="R39" s="29"/>
      <c r="S39" s="27"/>
    </row>
    <row r="40" spans="2:20" ht="15" customHeight="1" x14ac:dyDescent="0.25">
      <c r="N40" s="112"/>
      <c r="O40" s="112"/>
      <c r="P40" s="112"/>
      <c r="Q40" s="171" t="s">
        <v>90</v>
      </c>
      <c r="R40" s="168"/>
      <c r="S40" s="169"/>
    </row>
    <row r="41" spans="2:20" ht="15" customHeight="1" x14ac:dyDescent="0.25">
      <c r="B41" s="17" t="s">
        <v>39</v>
      </c>
      <c r="C41" s="98" t="s">
        <v>2</v>
      </c>
      <c r="D41" s="98"/>
      <c r="E41" s="98" t="s">
        <v>34</v>
      </c>
      <c r="F41" s="98" t="s">
        <v>35</v>
      </c>
      <c r="G41" s="123"/>
      <c r="H41" s="123"/>
      <c r="I41" s="117"/>
      <c r="J41" s="98"/>
      <c r="K41" s="98"/>
      <c r="L41" s="98" t="s">
        <v>36</v>
      </c>
      <c r="M41" s="98" t="s">
        <v>37</v>
      </c>
      <c r="N41" s="47"/>
      <c r="O41" s="47"/>
      <c r="P41" s="47"/>
      <c r="Q41" s="54" t="s">
        <v>88</v>
      </c>
      <c r="R41" s="52"/>
      <c r="S41" s="53"/>
      <c r="T41" s="51"/>
    </row>
    <row r="42" spans="2:20" x14ac:dyDescent="0.25">
      <c r="B42" s="65"/>
      <c r="C42" s="9"/>
      <c r="D42" s="9"/>
      <c r="E42" s="9"/>
      <c r="F42" s="9"/>
      <c r="G42" s="9"/>
      <c r="H42" s="9"/>
      <c r="I42" s="9"/>
      <c r="J42" s="9"/>
      <c r="K42" s="9"/>
      <c r="L42" s="9"/>
      <c r="M42" s="9"/>
      <c r="N42" s="45"/>
      <c r="O42" s="45"/>
      <c r="P42" s="45"/>
      <c r="Q42" s="59"/>
      <c r="R42" s="50"/>
      <c r="S42" s="50"/>
      <c r="T42" s="51"/>
    </row>
    <row r="43" spans="2:20" x14ac:dyDescent="0.25">
      <c r="B43" s="65"/>
      <c r="C43" s="9"/>
      <c r="D43" s="9"/>
      <c r="E43" s="9"/>
      <c r="F43" s="9"/>
      <c r="G43" s="9"/>
      <c r="H43" s="9"/>
      <c r="I43" s="9"/>
      <c r="J43" s="9"/>
      <c r="K43" s="9"/>
      <c r="L43" s="9"/>
      <c r="M43" s="9"/>
      <c r="N43" s="45"/>
      <c r="O43" s="45"/>
      <c r="P43" s="45"/>
      <c r="R43" s="51"/>
      <c r="S43" s="51"/>
      <c r="T43" s="51"/>
    </row>
    <row r="44" spans="2:20" x14ac:dyDescent="0.25">
      <c r="B44" s="12"/>
      <c r="C44" s="13"/>
      <c r="D44" s="13"/>
      <c r="E44" s="41"/>
      <c r="F44" s="15"/>
      <c r="G44" s="15"/>
      <c r="H44" s="15"/>
      <c r="I44" s="15"/>
      <c r="J44" s="15"/>
      <c r="K44" s="15"/>
      <c r="L44" s="16"/>
      <c r="M44" s="20"/>
      <c r="N44" s="18"/>
      <c r="O44" s="18"/>
      <c r="P44" s="18"/>
      <c r="Q44" s="51"/>
      <c r="R44" s="51"/>
      <c r="S44" s="51"/>
      <c r="T44" s="51"/>
    </row>
    <row r="45" spans="2:20" x14ac:dyDescent="0.25">
      <c r="B45" s="12"/>
      <c r="C45" s="13"/>
      <c r="D45" s="13"/>
      <c r="E45" s="41"/>
      <c r="F45" s="15"/>
      <c r="G45" s="15"/>
      <c r="H45" s="15"/>
      <c r="I45" s="15"/>
      <c r="J45" s="15"/>
      <c r="K45" s="15"/>
      <c r="L45" s="16"/>
      <c r="M45" s="20"/>
      <c r="N45" s="18"/>
      <c r="O45" s="18"/>
      <c r="P45" s="18"/>
      <c r="Q45" s="51"/>
      <c r="R45" s="51"/>
      <c r="S45" s="51"/>
      <c r="T45" s="51"/>
    </row>
    <row r="46" spans="2:20" x14ac:dyDescent="0.25">
      <c r="B46" s="12"/>
      <c r="C46" s="13"/>
      <c r="D46" s="13"/>
      <c r="E46" s="41"/>
      <c r="F46" s="15"/>
      <c r="G46" s="15"/>
      <c r="H46" s="15"/>
      <c r="I46" s="15"/>
      <c r="J46" s="15"/>
      <c r="K46" s="15"/>
      <c r="L46" s="16"/>
      <c r="M46" s="20"/>
      <c r="N46" s="18"/>
      <c r="O46" s="18"/>
      <c r="P46" s="18"/>
      <c r="Q46" s="51"/>
      <c r="R46" s="51"/>
      <c r="S46" s="51"/>
      <c r="T46" s="51"/>
    </row>
    <row r="47" spans="2:20" x14ac:dyDescent="0.25">
      <c r="B47" s="12"/>
      <c r="C47" s="13"/>
      <c r="D47" s="13"/>
      <c r="E47" s="41"/>
      <c r="F47" s="15"/>
      <c r="G47" s="15"/>
      <c r="H47" s="15"/>
      <c r="I47" s="15"/>
      <c r="J47" s="15"/>
      <c r="K47" s="15"/>
      <c r="L47" s="16"/>
      <c r="M47" s="20"/>
      <c r="N47" s="18"/>
      <c r="O47" s="18"/>
      <c r="P47" s="18"/>
      <c r="T47" s="51"/>
    </row>
    <row r="48" spans="2:20" ht="15" customHeight="1" x14ac:dyDescent="0.25">
      <c r="B48" s="12"/>
      <c r="C48" s="13"/>
      <c r="D48" s="13"/>
      <c r="E48" s="41"/>
      <c r="F48" s="15"/>
      <c r="G48" s="15"/>
      <c r="H48" s="15"/>
      <c r="I48" s="15"/>
      <c r="J48" s="15"/>
      <c r="K48" s="15"/>
      <c r="L48" s="16"/>
      <c r="M48" s="20"/>
      <c r="N48" s="18"/>
      <c r="O48" s="18"/>
      <c r="P48" s="18"/>
    </row>
    <row r="49" spans="2:19" x14ac:dyDescent="0.25">
      <c r="B49" s="36"/>
      <c r="C49" s="40"/>
      <c r="D49" s="40"/>
      <c r="E49" s="41"/>
      <c r="F49" s="38"/>
      <c r="G49" s="38"/>
      <c r="H49" s="38"/>
      <c r="I49" s="38"/>
      <c r="J49" s="38"/>
      <c r="K49" s="38"/>
      <c r="L49" s="39"/>
      <c r="M49" s="34"/>
      <c r="N49" s="107"/>
      <c r="O49" s="29"/>
      <c r="P49" s="29"/>
    </row>
    <row r="50" spans="2:19" x14ac:dyDescent="0.25">
      <c r="C50" s="40"/>
      <c r="D50" s="40"/>
      <c r="E50" s="41"/>
      <c r="F50" s="71"/>
      <c r="G50" s="71"/>
      <c r="H50" s="71"/>
      <c r="I50" s="71"/>
      <c r="J50" s="71"/>
      <c r="K50" s="71"/>
      <c r="L50" s="33"/>
      <c r="M50" s="31"/>
      <c r="N50" s="107"/>
      <c r="Q50" s="325" t="s">
        <v>343</v>
      </c>
      <c r="R50" s="325"/>
      <c r="S50" s="327">
        <f>S16</f>
        <v>434378.96</v>
      </c>
    </row>
    <row r="51" spans="2:19" x14ac:dyDescent="0.25">
      <c r="C51" s="40"/>
      <c r="D51" s="40"/>
      <c r="E51" s="41"/>
      <c r="F51" s="71"/>
      <c r="G51" s="71"/>
      <c r="H51" s="71"/>
      <c r="I51" s="71"/>
      <c r="J51" s="71"/>
      <c r="K51" s="71"/>
      <c r="L51" s="33"/>
      <c r="M51" s="31"/>
      <c r="N51" s="108"/>
    </row>
    <row r="52" spans="2:19" x14ac:dyDescent="0.25">
      <c r="C52" s="40"/>
      <c r="D52" s="40"/>
      <c r="E52" s="41"/>
      <c r="F52" s="71"/>
      <c r="G52" s="71"/>
      <c r="H52" s="71"/>
      <c r="I52" s="71"/>
      <c r="J52" s="71"/>
      <c r="K52" s="71"/>
      <c r="L52" s="33"/>
      <c r="M52" s="35"/>
      <c r="N52" s="37"/>
      <c r="O52" s="37"/>
      <c r="P52" s="29"/>
    </row>
    <row r="53" spans="2:19" ht="15" customHeight="1" x14ac:dyDescent="0.25">
      <c r="B53" s="36"/>
      <c r="C53" s="40"/>
      <c r="D53" s="40"/>
      <c r="E53" s="41"/>
      <c r="F53" s="38"/>
      <c r="G53" s="38"/>
      <c r="H53" s="38"/>
      <c r="I53" s="38"/>
      <c r="J53" s="38"/>
      <c r="K53" s="38"/>
      <c r="L53" s="33"/>
      <c r="M53" s="31"/>
      <c r="N53" s="101"/>
      <c r="O53" s="101"/>
      <c r="P53" s="29"/>
    </row>
    <row r="54" spans="2:19" x14ac:dyDescent="0.25">
      <c r="B54" s="36"/>
      <c r="C54" s="40"/>
      <c r="D54" s="40"/>
      <c r="E54" s="41"/>
      <c r="F54" s="38"/>
      <c r="G54" s="38"/>
      <c r="H54" s="38"/>
      <c r="I54" s="38"/>
      <c r="J54" s="38"/>
      <c r="K54" s="38"/>
      <c r="L54" s="33"/>
      <c r="M54" s="31"/>
      <c r="N54" s="101"/>
      <c r="O54" s="101"/>
      <c r="P54" s="29"/>
    </row>
    <row r="55" spans="2:19" x14ac:dyDescent="0.25">
      <c r="B55" s="36"/>
      <c r="C55" s="40"/>
      <c r="D55" s="40"/>
      <c r="E55" s="41"/>
      <c r="F55" s="38"/>
      <c r="G55" s="38"/>
      <c r="H55" s="38"/>
      <c r="I55" s="38"/>
      <c r="J55" s="38"/>
      <c r="K55" s="38"/>
      <c r="L55" s="33"/>
      <c r="M55" s="31"/>
      <c r="N55" s="101"/>
      <c r="O55" s="101"/>
      <c r="P55" s="29"/>
    </row>
    <row r="56" spans="2:19" ht="16.5" customHeight="1" x14ac:dyDescent="0.25">
      <c r="B56" s="36"/>
      <c r="C56" s="40"/>
      <c r="D56" s="40"/>
      <c r="E56" s="41"/>
      <c r="F56" s="38"/>
      <c r="G56" s="38"/>
      <c r="H56" s="38"/>
      <c r="I56" s="38"/>
      <c r="J56" s="38"/>
      <c r="K56" s="38"/>
      <c r="L56" s="39"/>
      <c r="M56" s="20"/>
      <c r="N56" s="101"/>
      <c r="O56" s="101"/>
      <c r="P56" s="29"/>
    </row>
    <row r="57" spans="2:19" ht="15" hidden="1" customHeight="1" x14ac:dyDescent="0.25"/>
    <row r="58" spans="2:19" ht="15" customHeight="1" x14ac:dyDescent="0.25">
      <c r="E58" s="21"/>
      <c r="F58" s="105"/>
      <c r="G58" s="105"/>
      <c r="H58" s="105"/>
      <c r="I58" s="105"/>
      <c r="J58" s="105"/>
      <c r="K58" s="105"/>
    </row>
    <row r="61" spans="2:19" ht="15" customHeight="1" x14ac:dyDescent="0.25"/>
  </sheetData>
  <mergeCells count="7">
    <mergeCell ref="B38:H38"/>
    <mergeCell ref="B25:F25"/>
    <mergeCell ref="Q2:S2"/>
    <mergeCell ref="Q1:S1"/>
    <mergeCell ref="B20:F20"/>
    <mergeCell ref="B22:F22"/>
    <mergeCell ref="B24:F24"/>
  </mergeCells>
  <hyperlinks>
    <hyperlink ref="B25" r:id="rId1"/>
  </hyperlinks>
  <printOptions horizontalCentered="1" gridLines="1"/>
  <pageMargins left="0" right="0" top="0.75" bottom="0.75" header="0.3" footer="0.3"/>
  <pageSetup scale="53" orientation="landscape" horizontalDpi="1200" verticalDpi="1200"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2"/>
  <sheetViews>
    <sheetView topLeftCell="E29" zoomScale="120" zoomScaleNormal="120" workbookViewId="0">
      <selection activeCell="C50" sqref="C50"/>
    </sheetView>
  </sheetViews>
  <sheetFormatPr defaultColWidth="9.140625" defaultRowHeight="15" x14ac:dyDescent="0.25"/>
  <cols>
    <col min="1" max="1" width="7.5703125" style="2" hidden="1" customWidth="1"/>
    <col min="2" max="2" width="57.7109375" style="2" customWidth="1"/>
    <col min="3" max="3" width="24.5703125" style="2" customWidth="1"/>
    <col min="4" max="4" width="13.7109375" style="2" customWidth="1"/>
    <col min="5" max="5" width="17.85546875" style="2" customWidth="1"/>
    <col min="6" max="6" width="21.42578125" style="2" customWidth="1"/>
    <col min="7" max="7" width="10.140625" style="2" customWidth="1"/>
    <col min="8" max="8" width="14.42578125" style="2" customWidth="1"/>
    <col min="9" max="9" width="13.28515625" style="2" customWidth="1"/>
    <col min="10" max="10" width="14.7109375" style="2" customWidth="1"/>
    <col min="11" max="11" width="10.42578125" style="2" customWidth="1"/>
    <col min="12" max="12" width="17.5703125" style="2" customWidth="1"/>
    <col min="13" max="13" width="13.28515625" style="2" bestFit="1" customWidth="1"/>
    <col min="14" max="14" width="13.7109375" style="2" customWidth="1"/>
    <col min="15" max="15" width="14.42578125" style="2" customWidth="1"/>
    <col min="16" max="16" width="3.140625" style="2" customWidth="1"/>
    <col min="17" max="17" width="14" style="2" customWidth="1"/>
    <col min="18" max="18" width="14.140625" style="2" customWidth="1"/>
    <col min="19" max="19" width="16.7109375" style="2" customWidth="1"/>
    <col min="20" max="16384" width="9.140625" style="2"/>
  </cols>
  <sheetData>
    <row r="1" spans="1:20" ht="18" customHeight="1" x14ac:dyDescent="0.25">
      <c r="A1" s="2" t="s">
        <v>342</v>
      </c>
      <c r="B1" s="1" t="s">
        <v>43</v>
      </c>
      <c r="Q1" s="335" t="s">
        <v>230</v>
      </c>
      <c r="R1" s="335"/>
      <c r="S1" s="335"/>
    </row>
    <row r="2" spans="1:20" ht="18" customHeight="1" x14ac:dyDescent="0.25">
      <c r="B2" s="90" t="s">
        <v>148</v>
      </c>
      <c r="C2" s="187">
        <v>44377</v>
      </c>
      <c r="M2" s="73"/>
      <c r="N2" s="73"/>
      <c r="P2" s="29"/>
      <c r="Q2" s="334" t="s">
        <v>338</v>
      </c>
      <c r="R2" s="334"/>
      <c r="S2" s="334"/>
    </row>
    <row r="3" spans="1:20" ht="18" customHeight="1" thickBot="1" x14ac:dyDescent="0.3">
      <c r="A3" s="2" t="s">
        <v>16</v>
      </c>
      <c r="B3" s="44" t="s">
        <v>64</v>
      </c>
      <c r="C3" s="8"/>
      <c r="D3" s="8"/>
      <c r="E3" s="8"/>
      <c r="P3" s="29"/>
      <c r="Q3" s="45"/>
      <c r="R3" s="30"/>
    </row>
    <row r="4" spans="1:20" ht="18.75" customHeight="1" x14ac:dyDescent="0.25">
      <c r="B4" s="8" t="s">
        <v>174</v>
      </c>
      <c r="M4" s="87" t="s">
        <v>28</v>
      </c>
      <c r="N4" s="87" t="s">
        <v>28</v>
      </c>
      <c r="O4" s="87" t="s">
        <v>28</v>
      </c>
      <c r="P4" s="9"/>
      <c r="Q4" s="91" t="s">
        <v>29</v>
      </c>
      <c r="R4" s="91" t="s">
        <v>31</v>
      </c>
      <c r="S4" s="91" t="s">
        <v>23</v>
      </c>
      <c r="T4" s="7"/>
    </row>
    <row r="5" spans="1:20" ht="15.75" thickBot="1" x14ac:dyDescent="0.3">
      <c r="G5" s="188" t="s">
        <v>231</v>
      </c>
      <c r="H5" s="188" t="s">
        <v>231</v>
      </c>
      <c r="M5" s="88" t="s">
        <v>27</v>
      </c>
      <c r="N5" s="88" t="s">
        <v>26</v>
      </c>
      <c r="O5" s="88" t="s">
        <v>25</v>
      </c>
      <c r="P5" s="9"/>
      <c r="Q5" s="92" t="s">
        <v>30</v>
      </c>
      <c r="R5" s="92" t="s">
        <v>30</v>
      </c>
      <c r="S5" s="92" t="s">
        <v>30</v>
      </c>
      <c r="T5" s="7"/>
    </row>
    <row r="6" spans="1:20" ht="85.5" customHeight="1" thickBot="1" x14ac:dyDescent="0.3">
      <c r="B6" s="86" t="s">
        <v>1</v>
      </c>
      <c r="C6" s="86" t="s">
        <v>127</v>
      </c>
      <c r="D6" s="86" t="s">
        <v>107</v>
      </c>
      <c r="E6" s="86" t="s">
        <v>3</v>
      </c>
      <c r="F6" s="86" t="s">
        <v>4</v>
      </c>
      <c r="G6" s="110" t="s">
        <v>136</v>
      </c>
      <c r="H6" s="110" t="s">
        <v>137</v>
      </c>
      <c r="I6" s="110" t="s">
        <v>133</v>
      </c>
      <c r="J6" s="110" t="s">
        <v>134</v>
      </c>
      <c r="K6" s="110" t="s">
        <v>121</v>
      </c>
      <c r="L6" s="85" t="s">
        <v>5</v>
      </c>
      <c r="M6" s="89" t="s">
        <v>6</v>
      </c>
      <c r="N6" s="89" t="s">
        <v>6</v>
      </c>
      <c r="O6" s="89" t="s">
        <v>6</v>
      </c>
      <c r="P6" s="9"/>
      <c r="Q6" s="93"/>
      <c r="R6" s="99" t="s">
        <v>32</v>
      </c>
      <c r="S6" s="100" t="s">
        <v>33</v>
      </c>
    </row>
    <row r="7" spans="1:20" ht="24.75" customHeight="1" x14ac:dyDescent="0.25">
      <c r="A7" s="2">
        <v>4201</v>
      </c>
      <c r="B7" s="2" t="s">
        <v>8</v>
      </c>
      <c r="C7" s="94" t="s">
        <v>106</v>
      </c>
      <c r="D7" s="94" t="s">
        <v>246</v>
      </c>
      <c r="E7" s="2" t="s">
        <v>232</v>
      </c>
      <c r="F7" s="2" t="s">
        <v>7</v>
      </c>
      <c r="G7" s="191">
        <v>2.9600000000000001E-2</v>
      </c>
      <c r="H7" s="191">
        <v>0.1744</v>
      </c>
      <c r="I7" s="192">
        <v>44377</v>
      </c>
      <c r="J7" s="192">
        <v>44378</v>
      </c>
      <c r="K7" s="192">
        <v>44013</v>
      </c>
      <c r="L7" s="193" t="s">
        <v>234</v>
      </c>
      <c r="M7" s="67">
        <v>345791.04</v>
      </c>
      <c r="N7" s="212">
        <f>346183.04-M7</f>
        <v>392</v>
      </c>
      <c r="O7" s="69">
        <f t="shared" ref="O7:O15" si="0">M7+N7</f>
        <v>346183.04</v>
      </c>
      <c r="P7" s="69"/>
      <c r="Q7" s="69">
        <f>38865.35+84942.41+89790.73+52026.98+58888.05</f>
        <v>324513.51999999996</v>
      </c>
      <c r="R7" s="69"/>
      <c r="S7" s="70">
        <f t="shared" ref="S7:S15" si="1">Q7+R7</f>
        <v>324513.51999999996</v>
      </c>
    </row>
    <row r="8" spans="1:20" ht="29.25" customHeight="1" x14ac:dyDescent="0.25">
      <c r="A8" s="2">
        <v>4253</v>
      </c>
      <c r="B8" s="2" t="s">
        <v>128</v>
      </c>
      <c r="C8" s="97" t="s">
        <v>122</v>
      </c>
      <c r="D8" s="95" t="s">
        <v>171</v>
      </c>
      <c r="E8" s="2" t="s">
        <v>233</v>
      </c>
      <c r="F8" s="2" t="s">
        <v>7</v>
      </c>
      <c r="G8" s="191">
        <f>+G7</f>
        <v>2.9600000000000001E-2</v>
      </c>
      <c r="H8" s="191">
        <f>+H7</f>
        <v>0.1744</v>
      </c>
      <c r="I8" s="192">
        <f>+I7</f>
        <v>44377</v>
      </c>
      <c r="J8" s="192">
        <f t="shared" ref="J8:L8" si="2">+J7</f>
        <v>44378</v>
      </c>
      <c r="K8" s="192">
        <f t="shared" si="2"/>
        <v>44013</v>
      </c>
      <c r="L8" s="194" t="str">
        <f t="shared" si="2"/>
        <v>07/01/20 - 06/30/21</v>
      </c>
      <c r="M8" s="67">
        <v>37619.82</v>
      </c>
      <c r="N8" s="69">
        <v>0</v>
      </c>
      <c r="O8" s="69">
        <f t="shared" si="0"/>
        <v>37619.82</v>
      </c>
      <c r="P8" s="69"/>
      <c r="Q8" s="69">
        <v>37619.82</v>
      </c>
      <c r="R8" s="69">
        <v>0</v>
      </c>
      <c r="S8" s="70">
        <f t="shared" si="1"/>
        <v>37619.82</v>
      </c>
    </row>
    <row r="9" spans="1:20" ht="30" customHeight="1" x14ac:dyDescent="0.25">
      <c r="B9" s="2" t="s">
        <v>241</v>
      </c>
      <c r="C9" s="243" t="s">
        <v>242</v>
      </c>
      <c r="D9" s="95" t="s">
        <v>243</v>
      </c>
      <c r="E9" s="2" t="s">
        <v>244</v>
      </c>
      <c r="F9" s="2" t="s">
        <v>7</v>
      </c>
      <c r="G9" s="191">
        <f t="shared" ref="G9:H10" si="3">+G8</f>
        <v>2.9600000000000001E-2</v>
      </c>
      <c r="H9" s="191">
        <f t="shared" si="3"/>
        <v>0.1744</v>
      </c>
      <c r="I9" s="192">
        <v>44834</v>
      </c>
      <c r="J9" s="192">
        <v>44849</v>
      </c>
      <c r="K9" s="192">
        <v>43614</v>
      </c>
      <c r="L9" s="193" t="s">
        <v>311</v>
      </c>
      <c r="M9" s="67">
        <v>175878.25</v>
      </c>
      <c r="N9" s="69"/>
      <c r="O9" s="69">
        <f t="shared" si="0"/>
        <v>175878.25</v>
      </c>
      <c r="P9" s="69"/>
      <c r="Q9" s="69"/>
      <c r="R9" s="69"/>
      <c r="S9" s="70">
        <f t="shared" si="1"/>
        <v>0</v>
      </c>
    </row>
    <row r="10" spans="1:20" ht="30" customHeight="1" x14ac:dyDescent="0.25">
      <c r="B10" s="2" t="s">
        <v>283</v>
      </c>
      <c r="C10" s="243" t="s">
        <v>264</v>
      </c>
      <c r="D10" s="95" t="s">
        <v>254</v>
      </c>
      <c r="E10" s="2" t="s">
        <v>284</v>
      </c>
      <c r="F10" s="2" t="s">
        <v>7</v>
      </c>
      <c r="G10" s="191">
        <f t="shared" si="3"/>
        <v>2.9600000000000001E-2</v>
      </c>
      <c r="H10" s="191">
        <f t="shared" si="3"/>
        <v>0.1744</v>
      </c>
      <c r="I10" s="192">
        <v>44377</v>
      </c>
      <c r="J10" s="192">
        <v>44392</v>
      </c>
      <c r="K10" s="192">
        <v>43613</v>
      </c>
      <c r="L10" s="193" t="s">
        <v>234</v>
      </c>
      <c r="M10" s="81">
        <v>7302.48</v>
      </c>
      <c r="N10" s="69"/>
      <c r="O10" s="69">
        <f t="shared" si="0"/>
        <v>7302.48</v>
      </c>
      <c r="P10" s="69"/>
      <c r="Q10" s="69"/>
      <c r="R10" s="69"/>
      <c r="S10" s="70">
        <f t="shared" si="1"/>
        <v>0</v>
      </c>
    </row>
    <row r="11" spans="1:20" ht="30" customHeight="1" x14ac:dyDescent="0.25">
      <c r="B11" s="2" t="s">
        <v>268</v>
      </c>
      <c r="C11" s="243" t="s">
        <v>269</v>
      </c>
      <c r="D11" s="95" t="s">
        <v>164</v>
      </c>
      <c r="E11" s="2" t="s">
        <v>286</v>
      </c>
      <c r="F11" s="2" t="s">
        <v>7</v>
      </c>
      <c r="G11" s="191">
        <f>+G9</f>
        <v>2.9600000000000001E-2</v>
      </c>
      <c r="H11" s="191">
        <f>+H9</f>
        <v>0.1744</v>
      </c>
      <c r="I11" s="192">
        <v>44393</v>
      </c>
      <c r="J11" s="192">
        <v>44408</v>
      </c>
      <c r="K11" s="192">
        <v>42644</v>
      </c>
      <c r="L11" s="193" t="s">
        <v>310</v>
      </c>
      <c r="M11" s="81">
        <v>356894</v>
      </c>
      <c r="N11" s="69"/>
      <c r="O11" s="69">
        <f t="shared" si="0"/>
        <v>356894</v>
      </c>
      <c r="P11" s="69"/>
      <c r="Q11" s="69">
        <f>199152+101460.87</f>
        <v>300612.87</v>
      </c>
      <c r="R11" s="69"/>
      <c r="S11" s="70">
        <f t="shared" si="1"/>
        <v>300612.87</v>
      </c>
    </row>
    <row r="12" spans="1:20" ht="30" customHeight="1" x14ac:dyDescent="0.25">
      <c r="B12" s="2" t="s">
        <v>314</v>
      </c>
      <c r="C12" s="243" t="s">
        <v>242</v>
      </c>
      <c r="D12" s="95" t="s">
        <v>243</v>
      </c>
      <c r="E12" s="2" t="s">
        <v>315</v>
      </c>
      <c r="F12" s="2" t="s">
        <v>7</v>
      </c>
      <c r="G12" s="191">
        <f>+G10</f>
        <v>2.9600000000000001E-2</v>
      </c>
      <c r="H12" s="191">
        <f>+H10</f>
        <v>0.1744</v>
      </c>
      <c r="I12" s="192">
        <v>44773</v>
      </c>
      <c r="J12" s="192">
        <v>44788</v>
      </c>
      <c r="K12" s="192">
        <v>43980</v>
      </c>
      <c r="L12" s="193" t="s">
        <v>316</v>
      </c>
      <c r="M12" s="81">
        <v>7893.65</v>
      </c>
      <c r="N12" s="72"/>
      <c r="O12" s="69">
        <f t="shared" si="0"/>
        <v>7893.65</v>
      </c>
      <c r="P12" s="69"/>
      <c r="Q12" s="69">
        <v>7656.12</v>
      </c>
      <c r="R12" s="69"/>
      <c r="S12" s="70">
        <f t="shared" si="1"/>
        <v>7656.12</v>
      </c>
    </row>
    <row r="13" spans="1:20" ht="30" customHeight="1" x14ac:dyDescent="0.25">
      <c r="B13" s="2" t="s">
        <v>318</v>
      </c>
      <c r="C13" s="243" t="s">
        <v>242</v>
      </c>
      <c r="D13" s="95" t="s">
        <v>243</v>
      </c>
      <c r="E13" s="2" t="s">
        <v>319</v>
      </c>
      <c r="F13" s="2" t="s">
        <v>7</v>
      </c>
      <c r="G13" s="191">
        <v>2.9600000000000001E-2</v>
      </c>
      <c r="H13" s="191">
        <v>0.1744</v>
      </c>
      <c r="I13" s="192">
        <v>44561</v>
      </c>
      <c r="J13" s="192">
        <v>44576</v>
      </c>
      <c r="K13" s="192">
        <v>43980</v>
      </c>
      <c r="L13" s="193" t="s">
        <v>320</v>
      </c>
      <c r="M13" s="81">
        <v>3000</v>
      </c>
      <c r="N13" s="69"/>
      <c r="O13" s="69">
        <f t="shared" si="0"/>
        <v>3000</v>
      </c>
      <c r="P13" s="68"/>
      <c r="Q13" s="69"/>
      <c r="R13" s="69"/>
      <c r="S13" s="70">
        <f t="shared" si="1"/>
        <v>0</v>
      </c>
    </row>
    <row r="14" spans="1:20" ht="30" customHeight="1" x14ac:dyDescent="0.25">
      <c r="B14" s="2" t="s">
        <v>321</v>
      </c>
      <c r="C14" s="243" t="s">
        <v>264</v>
      </c>
      <c r="D14" s="95" t="s">
        <v>254</v>
      </c>
      <c r="E14" s="2" t="s">
        <v>322</v>
      </c>
      <c r="F14" s="2" t="s">
        <v>7</v>
      </c>
      <c r="G14" s="191">
        <v>2.9600000000000001E-2</v>
      </c>
      <c r="H14" s="191">
        <v>0.1744</v>
      </c>
      <c r="I14" s="192">
        <v>44742</v>
      </c>
      <c r="J14" s="192">
        <v>44757</v>
      </c>
      <c r="K14" s="192">
        <v>43979</v>
      </c>
      <c r="L14" s="193" t="s">
        <v>323</v>
      </c>
      <c r="M14" s="81">
        <v>1027</v>
      </c>
      <c r="N14" s="69"/>
      <c r="O14" s="69">
        <f t="shared" si="0"/>
        <v>1027</v>
      </c>
      <c r="P14" s="68"/>
      <c r="Q14" s="69"/>
      <c r="R14" s="69"/>
      <c r="S14" s="70">
        <f t="shared" si="1"/>
        <v>0</v>
      </c>
    </row>
    <row r="15" spans="1:20" ht="30" customHeight="1" x14ac:dyDescent="0.25">
      <c r="B15" s="2" t="s">
        <v>327</v>
      </c>
      <c r="C15" s="243" t="s">
        <v>242</v>
      </c>
      <c r="D15" s="95" t="s">
        <v>328</v>
      </c>
      <c r="E15" s="2" t="s">
        <v>329</v>
      </c>
      <c r="F15" s="2" t="s">
        <v>7</v>
      </c>
      <c r="G15" s="191">
        <v>2.9600000000000001E-2</v>
      </c>
      <c r="H15" s="191">
        <v>0.1744</v>
      </c>
      <c r="I15" s="192">
        <v>44440</v>
      </c>
      <c r="J15" s="192">
        <v>44440</v>
      </c>
      <c r="K15" s="192">
        <v>44201</v>
      </c>
      <c r="L15" s="193" t="s">
        <v>330</v>
      </c>
      <c r="M15" s="81">
        <v>362910.12</v>
      </c>
      <c r="N15" s="69"/>
      <c r="O15" s="69">
        <f t="shared" si="0"/>
        <v>362910.12</v>
      </c>
      <c r="P15" s="68"/>
      <c r="Q15" s="69"/>
      <c r="R15" s="69"/>
      <c r="S15" s="70">
        <f t="shared" si="1"/>
        <v>0</v>
      </c>
    </row>
    <row r="16" spans="1:20" ht="16.149999999999999" customHeight="1" x14ac:dyDescent="0.25">
      <c r="C16" s="97"/>
      <c r="D16" s="204"/>
      <c r="G16" s="191"/>
      <c r="H16" s="191"/>
      <c r="I16" s="192"/>
      <c r="J16" s="192"/>
      <c r="K16" s="192"/>
      <c r="L16" s="193"/>
      <c r="M16" s="25"/>
      <c r="N16" s="25"/>
      <c r="O16" s="213"/>
      <c r="P16" s="29"/>
      <c r="Q16" s="25"/>
      <c r="R16" s="25"/>
      <c r="S16" s="26"/>
    </row>
    <row r="17" spans="2:19" ht="22.5" customHeight="1" x14ac:dyDescent="0.25">
      <c r="C17" s="94"/>
      <c r="D17" s="94"/>
      <c r="I17" s="119"/>
      <c r="J17" s="119"/>
      <c r="K17" s="119"/>
      <c r="L17" s="5" t="s">
        <v>38</v>
      </c>
      <c r="M17" s="68">
        <f>SUM(M7:M16)</f>
        <v>1298316.3599999999</v>
      </c>
      <c r="N17" s="68">
        <f>SUM(N7:N16)</f>
        <v>392</v>
      </c>
      <c r="O17" s="68">
        <f>SUM(O7:O16)</f>
        <v>1298708.3599999999</v>
      </c>
      <c r="Q17" s="68">
        <f>SUM(Q7:Q16)</f>
        <v>670402.32999999996</v>
      </c>
      <c r="R17" s="68">
        <f>SUM(R7:R16)</f>
        <v>0</v>
      </c>
      <c r="S17" s="23">
        <f>SUM(S7:S16)</f>
        <v>670402.32999999996</v>
      </c>
    </row>
    <row r="18" spans="2:19" x14ac:dyDescent="0.25">
      <c r="C18" s="94"/>
      <c r="D18" s="94"/>
      <c r="L18" s="5"/>
      <c r="M18" s="68"/>
      <c r="N18" s="68"/>
      <c r="O18" s="68"/>
      <c r="Q18" s="68"/>
      <c r="R18" s="68"/>
      <c r="S18" s="70"/>
    </row>
    <row r="19" spans="2:19" x14ac:dyDescent="0.25">
      <c r="C19" s="94"/>
      <c r="D19" s="94"/>
      <c r="L19" s="5"/>
      <c r="M19" s="68"/>
      <c r="N19" s="68"/>
      <c r="O19" s="68"/>
      <c r="Q19" s="68"/>
      <c r="R19" s="68"/>
      <c r="S19" s="70"/>
    </row>
    <row r="20" spans="2:19" ht="33" customHeight="1" x14ac:dyDescent="0.25">
      <c r="B20" s="8" t="s">
        <v>125</v>
      </c>
      <c r="C20" s="94"/>
      <c r="D20" s="94"/>
      <c r="L20" s="5"/>
      <c r="M20" s="68"/>
      <c r="N20" s="68"/>
      <c r="O20" s="68"/>
      <c r="Q20" s="68"/>
      <c r="R20" s="68"/>
      <c r="S20" s="70"/>
    </row>
    <row r="21" spans="2:19" ht="28.5" customHeight="1" x14ac:dyDescent="0.25">
      <c r="B21" s="338" t="s">
        <v>126</v>
      </c>
      <c r="C21" s="338"/>
      <c r="D21" s="338"/>
      <c r="E21" s="338"/>
      <c r="F21" s="338"/>
      <c r="G21" s="120"/>
      <c r="H21" s="120"/>
      <c r="I21" s="114"/>
      <c r="L21" s="5"/>
      <c r="M21" s="68"/>
      <c r="N21" s="68"/>
      <c r="O21" s="68"/>
      <c r="Q21" s="68"/>
      <c r="R21" s="68"/>
      <c r="S21" s="70"/>
    </row>
    <row r="22" spans="2:19" x14ac:dyDescent="0.25">
      <c r="C22" s="94"/>
      <c r="D22" s="94"/>
      <c r="L22" s="5"/>
      <c r="M22" s="68"/>
      <c r="N22" s="68"/>
      <c r="O22" s="68"/>
      <c r="Q22" s="68"/>
      <c r="R22" s="68"/>
      <c r="S22" s="70"/>
    </row>
    <row r="23" spans="2:19" ht="44.25" customHeight="1" x14ac:dyDescent="0.25">
      <c r="B23" s="338" t="s">
        <v>129</v>
      </c>
      <c r="C23" s="338"/>
      <c r="D23" s="338"/>
      <c r="E23" s="338"/>
      <c r="F23" s="338"/>
      <c r="G23" s="120"/>
      <c r="H23" s="120"/>
      <c r="I23" s="114"/>
      <c r="L23" s="5"/>
      <c r="M23" s="68"/>
      <c r="N23" s="68"/>
      <c r="O23" s="68"/>
      <c r="Q23" s="68"/>
      <c r="R23" s="68"/>
      <c r="S23" s="70"/>
    </row>
    <row r="24" spans="2:19" x14ac:dyDescent="0.25">
      <c r="B24" s="111"/>
      <c r="C24" s="111"/>
      <c r="D24" s="111"/>
      <c r="E24" s="111"/>
      <c r="F24" s="111"/>
      <c r="G24" s="120"/>
      <c r="H24" s="120"/>
      <c r="I24" s="114"/>
      <c r="L24" s="5"/>
      <c r="M24" s="68"/>
      <c r="N24" s="68"/>
      <c r="O24" s="68"/>
      <c r="Q24" s="68"/>
      <c r="R24" s="68"/>
      <c r="S24" s="70"/>
    </row>
    <row r="25" spans="2:19" ht="29.25" customHeight="1" x14ac:dyDescent="0.25">
      <c r="B25" s="338" t="s">
        <v>160</v>
      </c>
      <c r="C25" s="338"/>
      <c r="D25" s="338"/>
      <c r="E25" s="338"/>
      <c r="F25" s="338"/>
      <c r="G25" s="198"/>
      <c r="H25" s="198"/>
      <c r="I25" s="198"/>
      <c r="L25" s="5"/>
      <c r="M25" s="68"/>
      <c r="N25" s="68"/>
      <c r="O25" s="68"/>
      <c r="Q25" s="68"/>
      <c r="R25" s="68"/>
      <c r="S25" s="70"/>
    </row>
    <row r="26" spans="2:19" ht="15" customHeight="1" x14ac:dyDescent="0.25">
      <c r="B26" s="346" t="s">
        <v>159</v>
      </c>
      <c r="C26" s="338"/>
      <c r="D26" s="338"/>
      <c r="E26" s="338"/>
      <c r="F26" s="338"/>
      <c r="G26" s="198"/>
      <c r="H26" s="198"/>
      <c r="I26" s="198"/>
      <c r="L26" s="5"/>
      <c r="M26" s="68"/>
      <c r="N26" s="68"/>
      <c r="O26" s="68"/>
      <c r="Q26" s="68"/>
      <c r="R26" s="68"/>
      <c r="S26" s="70"/>
    </row>
    <row r="27" spans="2:19" ht="15" customHeight="1" x14ac:dyDescent="0.25">
      <c r="B27" s="200"/>
      <c r="C27" s="200"/>
      <c r="D27" s="200"/>
      <c r="E27" s="200"/>
      <c r="F27" s="200"/>
      <c r="G27" s="200"/>
      <c r="H27" s="200"/>
      <c r="I27" s="200"/>
      <c r="L27" s="5"/>
      <c r="M27" s="68"/>
      <c r="N27" s="68"/>
      <c r="O27" s="68"/>
      <c r="Q27" s="68"/>
      <c r="R27" s="68"/>
      <c r="S27" s="70"/>
    </row>
    <row r="28" spans="2:19" x14ac:dyDescent="0.25">
      <c r="B28" s="7" t="s">
        <v>109</v>
      </c>
      <c r="C28" s="104" t="s">
        <v>112</v>
      </c>
      <c r="D28" s="104" t="s">
        <v>113</v>
      </c>
      <c r="E28" s="111"/>
      <c r="F28" s="111"/>
      <c r="G28" s="120"/>
      <c r="H28" s="120"/>
      <c r="I28" s="114"/>
      <c r="L28" s="5"/>
      <c r="M28" s="68"/>
      <c r="N28" s="68"/>
      <c r="O28" s="68"/>
      <c r="Q28" s="68"/>
      <c r="R28" s="68"/>
      <c r="S28" s="70"/>
    </row>
    <row r="29" spans="2:19" x14ac:dyDescent="0.25">
      <c r="B29" s="2" t="s">
        <v>110</v>
      </c>
      <c r="C29" s="94" t="s">
        <v>116</v>
      </c>
      <c r="D29" s="94" t="s">
        <v>118</v>
      </c>
      <c r="E29" s="111"/>
      <c r="F29" s="111"/>
      <c r="G29" s="120"/>
      <c r="H29" s="120"/>
      <c r="I29" s="114"/>
      <c r="L29" s="5"/>
      <c r="M29" s="68"/>
      <c r="N29" s="68"/>
      <c r="O29" s="68"/>
      <c r="Q29" s="68"/>
      <c r="R29" s="68"/>
      <c r="S29" s="70"/>
    </row>
    <row r="30" spans="2:19" x14ac:dyDescent="0.25">
      <c r="B30" s="2" t="s">
        <v>252</v>
      </c>
      <c r="C30" s="94" t="s">
        <v>135</v>
      </c>
      <c r="D30" s="94" t="s">
        <v>147</v>
      </c>
      <c r="L30" s="5"/>
      <c r="M30" s="68"/>
      <c r="N30" s="68"/>
      <c r="O30" s="68"/>
      <c r="Q30" s="68"/>
      <c r="R30" s="68"/>
      <c r="S30" s="70"/>
    </row>
    <row r="31" spans="2:19" x14ac:dyDescent="0.25">
      <c r="B31" s="2" t="s">
        <v>260</v>
      </c>
      <c r="C31" s="94" t="s">
        <v>135</v>
      </c>
      <c r="D31" s="94" t="s">
        <v>147</v>
      </c>
      <c r="L31" s="5"/>
      <c r="M31" s="68"/>
      <c r="N31" s="68"/>
      <c r="O31" s="68"/>
      <c r="Q31" s="68"/>
      <c r="R31" s="68"/>
      <c r="S31" s="70"/>
    </row>
    <row r="32" spans="2:19" x14ac:dyDescent="0.25">
      <c r="B32" s="2" t="s">
        <v>267</v>
      </c>
      <c r="C32" s="94" t="s">
        <v>135</v>
      </c>
      <c r="D32" s="94" t="s">
        <v>147</v>
      </c>
      <c r="L32" s="5"/>
      <c r="M32" s="68"/>
      <c r="N32" s="68"/>
      <c r="O32" s="68"/>
      <c r="Q32" s="68"/>
      <c r="R32" s="68"/>
      <c r="S32" s="70"/>
    </row>
    <row r="33" spans="2:20" x14ac:dyDescent="0.25">
      <c r="B33" s="2" t="s">
        <v>314</v>
      </c>
      <c r="C33" s="94" t="s">
        <v>135</v>
      </c>
      <c r="D33" s="94" t="s">
        <v>147</v>
      </c>
      <c r="L33" s="5"/>
      <c r="M33" s="68"/>
      <c r="N33" s="68"/>
      <c r="O33" s="68"/>
      <c r="Q33" s="68"/>
      <c r="R33" s="68"/>
      <c r="S33" s="70"/>
    </row>
    <row r="34" spans="2:20" x14ac:dyDescent="0.25">
      <c r="B34" s="2" t="s">
        <v>318</v>
      </c>
      <c r="C34" s="94" t="s">
        <v>135</v>
      </c>
      <c r="D34" s="94" t="s">
        <v>147</v>
      </c>
      <c r="L34" s="5"/>
      <c r="M34" s="68"/>
      <c r="N34" s="68"/>
      <c r="O34" s="68"/>
      <c r="Q34" s="68"/>
      <c r="R34" s="68"/>
      <c r="S34" s="70"/>
    </row>
    <row r="35" spans="2:20" x14ac:dyDescent="0.25">
      <c r="B35" s="2" t="s">
        <v>321</v>
      </c>
      <c r="C35" s="94" t="s">
        <v>135</v>
      </c>
      <c r="D35" s="94" t="s">
        <v>147</v>
      </c>
      <c r="L35" s="5"/>
      <c r="M35" s="68"/>
      <c r="N35" s="68"/>
      <c r="O35" s="68"/>
      <c r="Q35" s="68"/>
      <c r="R35" s="68"/>
      <c r="S35" s="70"/>
    </row>
    <row r="36" spans="2:20" x14ac:dyDescent="0.25">
      <c r="B36" s="2" t="s">
        <v>326</v>
      </c>
      <c r="C36" s="94" t="s">
        <v>135</v>
      </c>
      <c r="D36" s="94" t="s">
        <v>147</v>
      </c>
      <c r="L36" s="5"/>
      <c r="M36" s="68"/>
      <c r="N36" s="68"/>
      <c r="O36" s="68"/>
      <c r="Q36" s="68"/>
      <c r="R36" s="68"/>
      <c r="S36" s="70"/>
    </row>
    <row r="37" spans="2:20" x14ac:dyDescent="0.25">
      <c r="C37" s="94"/>
      <c r="D37" s="94"/>
      <c r="L37" s="5"/>
      <c r="M37" s="68"/>
      <c r="N37" s="68"/>
      <c r="O37" s="68"/>
      <c r="Q37" s="68"/>
      <c r="R37" s="68"/>
      <c r="S37" s="70"/>
    </row>
    <row r="38" spans="2:20" x14ac:dyDescent="0.25">
      <c r="B38" s="269" t="s">
        <v>235</v>
      </c>
      <c r="C38" s="94"/>
      <c r="D38" s="94"/>
      <c r="L38" s="5"/>
      <c r="M38" s="68"/>
      <c r="N38" s="68"/>
      <c r="O38" s="68"/>
      <c r="Q38" s="68"/>
      <c r="R38" s="68"/>
      <c r="S38" s="70"/>
    </row>
    <row r="39" spans="2:20" x14ac:dyDescent="0.25">
      <c r="B39" s="333" t="s">
        <v>236</v>
      </c>
      <c r="C39" s="333"/>
      <c r="D39" s="333"/>
      <c r="E39" s="333"/>
      <c r="F39" s="333"/>
      <c r="G39" s="333"/>
      <c r="H39" s="333"/>
      <c r="L39" s="5"/>
      <c r="M39" s="68"/>
      <c r="N39" s="68"/>
      <c r="O39" s="68"/>
      <c r="Q39" s="68"/>
      <c r="R39" s="68"/>
      <c r="S39" s="70"/>
    </row>
    <row r="40" spans="2:20" x14ac:dyDescent="0.25">
      <c r="B40" s="10"/>
      <c r="C40" s="96"/>
      <c r="D40" s="96"/>
      <c r="E40" s="10"/>
      <c r="F40" s="10"/>
      <c r="G40" s="10"/>
      <c r="H40" s="10"/>
      <c r="I40" s="10"/>
      <c r="J40" s="10"/>
      <c r="K40" s="10"/>
      <c r="L40" s="10"/>
      <c r="M40" s="10"/>
      <c r="N40" s="29"/>
      <c r="O40" s="29"/>
      <c r="P40" s="29"/>
      <c r="Q40" s="29"/>
      <c r="R40" s="29"/>
      <c r="S40" s="27"/>
    </row>
    <row r="41" spans="2:20" ht="15" customHeight="1" x14ac:dyDescent="0.25">
      <c r="N41" s="112"/>
      <c r="O41" s="112"/>
      <c r="P41" s="112"/>
      <c r="Q41" s="171" t="s">
        <v>90</v>
      </c>
      <c r="R41" s="168"/>
      <c r="S41" s="169"/>
    </row>
    <row r="42" spans="2:20" ht="15" customHeight="1" x14ac:dyDescent="0.25">
      <c r="B42" s="17" t="s">
        <v>39</v>
      </c>
      <c r="C42" s="98" t="s">
        <v>2</v>
      </c>
      <c r="D42" s="98"/>
      <c r="E42" s="98" t="s">
        <v>34</v>
      </c>
      <c r="F42" s="98" t="s">
        <v>35</v>
      </c>
      <c r="G42" s="123"/>
      <c r="H42" s="123"/>
      <c r="I42" s="117"/>
      <c r="J42" s="98"/>
      <c r="K42" s="98"/>
      <c r="L42" s="98" t="s">
        <v>36</v>
      </c>
      <c r="M42" s="98" t="s">
        <v>37</v>
      </c>
      <c r="N42" s="47"/>
      <c r="O42" s="47"/>
      <c r="P42" s="47"/>
      <c r="Q42" s="54" t="s">
        <v>88</v>
      </c>
      <c r="R42" s="52"/>
      <c r="S42" s="53"/>
      <c r="T42" s="51"/>
    </row>
    <row r="43" spans="2:20" ht="15" customHeight="1" x14ac:dyDescent="0.25">
      <c r="B43" s="65"/>
      <c r="C43" s="9"/>
      <c r="D43" s="9"/>
      <c r="E43" s="9"/>
      <c r="F43" s="9"/>
      <c r="G43" s="9"/>
      <c r="H43" s="9"/>
      <c r="I43" s="9"/>
      <c r="J43" s="9"/>
      <c r="K43" s="9"/>
      <c r="L43" s="9"/>
      <c r="M43" s="9"/>
      <c r="N43" s="45"/>
      <c r="O43" s="45"/>
      <c r="P43" s="45"/>
      <c r="Q43" s="59"/>
      <c r="R43" s="50"/>
      <c r="S43" s="50"/>
      <c r="T43" s="51"/>
    </row>
    <row r="44" spans="2:20" x14ac:dyDescent="0.25">
      <c r="B44" s="65"/>
      <c r="C44" s="9"/>
      <c r="D44" s="9"/>
      <c r="E44" s="9"/>
      <c r="F44" s="9"/>
      <c r="G44" s="9"/>
      <c r="H44" s="9"/>
      <c r="I44" s="9"/>
      <c r="J44" s="9"/>
      <c r="K44" s="9"/>
      <c r="L44" s="9"/>
      <c r="M44" s="9"/>
      <c r="N44" s="45"/>
      <c r="O44" s="45"/>
      <c r="P44" s="45"/>
      <c r="R44" s="51"/>
      <c r="S44" s="51"/>
      <c r="T44" s="51"/>
    </row>
    <row r="45" spans="2:20" x14ac:dyDescent="0.25">
      <c r="B45" s="12"/>
      <c r="C45" s="13"/>
      <c r="D45" s="13"/>
      <c r="E45" s="41"/>
      <c r="F45" s="15"/>
      <c r="G45" s="15"/>
      <c r="H45" s="15"/>
      <c r="I45" s="15"/>
      <c r="J45" s="15"/>
      <c r="K45" s="15"/>
      <c r="L45" s="16"/>
      <c r="M45" s="31"/>
      <c r="Q45" s="51"/>
      <c r="R45" s="51"/>
      <c r="S45" s="51"/>
      <c r="T45" s="51"/>
    </row>
    <row r="46" spans="2:20" x14ac:dyDescent="0.25">
      <c r="B46" s="12"/>
      <c r="C46" s="13"/>
      <c r="D46" s="13"/>
      <c r="E46" s="41"/>
      <c r="F46" s="15"/>
      <c r="G46" s="15"/>
      <c r="H46" s="15"/>
      <c r="I46" s="15"/>
      <c r="J46" s="15"/>
      <c r="K46" s="15"/>
      <c r="L46" s="16"/>
      <c r="M46" s="31"/>
      <c r="Q46" s="51"/>
      <c r="R46" s="51"/>
      <c r="S46" s="51"/>
      <c r="T46" s="51"/>
    </row>
    <row r="47" spans="2:20" x14ac:dyDescent="0.25">
      <c r="B47" s="12"/>
      <c r="C47" s="13"/>
      <c r="D47" s="13"/>
      <c r="E47" s="41"/>
      <c r="F47" s="15"/>
      <c r="G47" s="15"/>
      <c r="H47" s="15"/>
      <c r="I47" s="15"/>
      <c r="J47" s="15"/>
      <c r="K47" s="15"/>
      <c r="L47" s="16"/>
      <c r="M47" s="31"/>
      <c r="Q47" s="51"/>
      <c r="R47" s="51"/>
      <c r="S47" s="51"/>
      <c r="T47" s="51"/>
    </row>
    <row r="48" spans="2:20" x14ac:dyDescent="0.25">
      <c r="B48" s="12"/>
      <c r="C48" s="13"/>
      <c r="D48" s="13"/>
      <c r="E48" s="41"/>
      <c r="F48" s="15"/>
      <c r="G48" s="15"/>
      <c r="H48" s="15"/>
      <c r="I48" s="15"/>
      <c r="J48" s="15"/>
      <c r="K48" s="15"/>
      <c r="L48" s="16"/>
      <c r="M48" s="31"/>
      <c r="T48" s="51"/>
    </row>
    <row r="49" spans="2:19" ht="15" customHeight="1" x14ac:dyDescent="0.25">
      <c r="B49" s="12"/>
      <c r="C49" s="13"/>
      <c r="D49" s="13"/>
      <c r="E49" s="41"/>
      <c r="F49" s="15"/>
      <c r="G49" s="15"/>
      <c r="H49" s="15"/>
      <c r="I49" s="15"/>
      <c r="J49" s="15"/>
      <c r="K49" s="15"/>
      <c r="L49" s="16"/>
      <c r="M49" s="20"/>
      <c r="N49" s="18"/>
      <c r="O49" s="18"/>
      <c r="P49" s="18"/>
    </row>
    <row r="50" spans="2:19" x14ac:dyDescent="0.25">
      <c r="B50" s="36"/>
      <c r="C50" s="40"/>
      <c r="D50" s="40"/>
      <c r="E50" s="41"/>
      <c r="F50" s="38"/>
      <c r="G50" s="38"/>
      <c r="H50" s="38"/>
      <c r="I50" s="38"/>
      <c r="J50" s="38"/>
      <c r="K50" s="38"/>
      <c r="L50" s="39"/>
      <c r="M50" s="34"/>
      <c r="N50" s="107"/>
      <c r="O50" s="29"/>
      <c r="P50" s="29"/>
      <c r="Q50" s="325" t="s">
        <v>343</v>
      </c>
      <c r="R50" s="325"/>
      <c r="S50" s="327">
        <f>S17</f>
        <v>670402.32999999996</v>
      </c>
    </row>
    <row r="51" spans="2:19" x14ac:dyDescent="0.25">
      <c r="C51" s="40"/>
      <c r="D51" s="40"/>
      <c r="E51" s="41"/>
      <c r="F51" s="71"/>
      <c r="G51" s="71"/>
      <c r="H51" s="71"/>
      <c r="I51" s="71"/>
      <c r="J51" s="71"/>
      <c r="K51" s="71"/>
      <c r="L51" s="33"/>
      <c r="M51" s="31"/>
      <c r="N51" s="107"/>
    </row>
    <row r="52" spans="2:19" x14ac:dyDescent="0.25">
      <c r="C52" s="40"/>
      <c r="D52" s="40"/>
      <c r="E52" s="41"/>
      <c r="F52" s="71"/>
      <c r="G52" s="71"/>
      <c r="H52" s="71"/>
      <c r="I52" s="71"/>
      <c r="J52" s="71"/>
      <c r="K52" s="71"/>
      <c r="L52" s="33"/>
      <c r="M52" s="31"/>
      <c r="N52" s="108"/>
    </row>
    <row r="53" spans="2:19" x14ac:dyDescent="0.25">
      <c r="C53" s="40"/>
      <c r="D53" s="40"/>
      <c r="E53" s="41"/>
      <c r="F53" s="71"/>
      <c r="G53" s="71"/>
      <c r="H53" s="71"/>
      <c r="I53" s="71"/>
      <c r="J53" s="71"/>
      <c r="K53" s="71"/>
      <c r="L53" s="33"/>
      <c r="M53" s="35"/>
      <c r="N53" s="37"/>
      <c r="O53" s="37"/>
      <c r="P53" s="29"/>
    </row>
    <row r="54" spans="2:19" ht="15" customHeight="1" x14ac:dyDescent="0.25">
      <c r="B54" s="36"/>
      <c r="C54" s="40"/>
      <c r="D54" s="40"/>
      <c r="E54" s="41"/>
      <c r="F54" s="38"/>
      <c r="G54" s="38"/>
      <c r="H54" s="38"/>
      <c r="I54" s="38"/>
      <c r="J54" s="38"/>
      <c r="K54" s="38"/>
      <c r="L54" s="33"/>
      <c r="M54" s="31"/>
      <c r="N54" s="101"/>
      <c r="O54" s="101"/>
      <c r="P54" s="29"/>
    </row>
    <row r="55" spans="2:19" x14ac:dyDescent="0.25">
      <c r="B55" s="36"/>
      <c r="C55" s="40"/>
      <c r="D55" s="40"/>
      <c r="E55" s="41"/>
      <c r="F55" s="38"/>
      <c r="G55" s="38"/>
      <c r="H55" s="38"/>
      <c r="I55" s="38"/>
      <c r="J55" s="38"/>
      <c r="K55" s="38"/>
      <c r="L55" s="33"/>
      <c r="M55" s="31"/>
      <c r="N55" s="101"/>
      <c r="O55" s="101"/>
      <c r="P55" s="29"/>
    </row>
    <row r="56" spans="2:19" x14ac:dyDescent="0.25">
      <c r="B56" s="36"/>
      <c r="C56" s="40"/>
      <c r="D56" s="40"/>
      <c r="E56" s="41"/>
      <c r="F56" s="38"/>
      <c r="G56" s="38"/>
      <c r="H56" s="38"/>
      <c r="I56" s="38"/>
      <c r="J56" s="38"/>
      <c r="K56" s="38"/>
      <c r="L56" s="33"/>
      <c r="M56" s="31"/>
      <c r="N56" s="101"/>
      <c r="O56" s="101"/>
      <c r="P56" s="29"/>
    </row>
    <row r="57" spans="2:19" ht="16.5" customHeight="1" x14ac:dyDescent="0.25">
      <c r="B57" s="36"/>
      <c r="C57" s="40"/>
      <c r="D57" s="40"/>
      <c r="E57" s="41"/>
      <c r="F57" s="38"/>
      <c r="G57" s="38"/>
      <c r="H57" s="38"/>
      <c r="I57" s="38"/>
      <c r="J57" s="38"/>
      <c r="K57" s="38"/>
      <c r="L57" s="39"/>
      <c r="M57" s="20"/>
      <c r="N57" s="101"/>
      <c r="O57" s="101"/>
      <c r="P57" s="29"/>
    </row>
    <row r="58" spans="2:19" ht="15" hidden="1" customHeight="1" x14ac:dyDescent="0.25"/>
    <row r="59" spans="2:19" ht="15" customHeight="1" x14ac:dyDescent="0.25">
      <c r="E59" s="21"/>
      <c r="F59" s="105"/>
      <c r="G59" s="105"/>
      <c r="H59" s="105"/>
      <c r="I59" s="105"/>
      <c r="J59" s="105"/>
      <c r="K59" s="105"/>
    </row>
    <row r="62" spans="2:19" ht="15" customHeight="1" x14ac:dyDescent="0.25"/>
  </sheetData>
  <mergeCells count="7">
    <mergeCell ref="B39:H39"/>
    <mergeCell ref="B26:F26"/>
    <mergeCell ref="Q2:S2"/>
    <mergeCell ref="Q1:S1"/>
    <mergeCell ref="B21:F21"/>
    <mergeCell ref="B23:F23"/>
    <mergeCell ref="B25:F25"/>
  </mergeCells>
  <hyperlinks>
    <hyperlink ref="B26" r:id="rId1"/>
  </hyperlinks>
  <printOptions horizontalCentered="1" gridLines="1"/>
  <pageMargins left="0" right="0" top="0.75" bottom="0.75" header="0.3" footer="0.3"/>
  <pageSetup scale="51" orientation="landscape"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53</vt:i4>
      </vt:variant>
      <vt:variant>
        <vt:lpstr>Named Ranges</vt:lpstr>
      </vt:variant>
      <vt:variant>
        <vt:i4>52</vt:i4>
      </vt:variant>
    </vt:vector>
  </HeadingPairs>
  <TitlesOfParts>
    <vt:vector size="105" baseType="lpstr">
      <vt:lpstr>Consolidated</vt:lpstr>
      <vt:lpstr>#0664 Academy Positive Learning</vt:lpstr>
      <vt:lpstr>#1461 Inlet Grove Comm. HS </vt:lpstr>
      <vt:lpstr>#1571 South Tech Charter Acad</vt:lpstr>
      <vt:lpstr>#1571 South Tech Academy</vt:lpstr>
      <vt:lpstr>#2521 Ed Venture </vt:lpstr>
      <vt:lpstr>#2531 Potentials </vt:lpstr>
      <vt:lpstr>#2791 The Learning Center @ Els</vt:lpstr>
      <vt:lpstr>#2801 Palm Beach Maritime Acad </vt:lpstr>
      <vt:lpstr>#2911 Western Academy</vt:lpstr>
      <vt:lpstr>#2941 Palm Beach School Autism </vt:lpstr>
      <vt:lpstr>#3083 The Learning Acad @ Els </vt:lpstr>
      <vt:lpstr>#3345 Gulfstream Goodwill Life </vt:lpstr>
      <vt:lpstr>#3381 Imagine Schools </vt:lpstr>
      <vt:lpstr>#3382 Glades Academy </vt:lpstr>
      <vt:lpstr>#3385 Bright Futures Academy </vt:lpstr>
      <vt:lpstr>#3386 Toussaint L'Ouverture </vt:lpstr>
      <vt:lpstr>#3391 Seagull Academy Ind. Liv</vt:lpstr>
      <vt:lpstr>#3394 Montessori Acad Early  </vt:lpstr>
      <vt:lpstr>#3395 Somerset Academy JFK </vt:lpstr>
      <vt:lpstr>#3396 G-Star of the Arts </vt:lpstr>
      <vt:lpstr>#3398 Everglades Preparatory </vt:lpstr>
      <vt:lpstr>#3400 Believers Academy </vt:lpstr>
      <vt:lpstr>#3401 Quantum High School </vt:lpstr>
      <vt:lpstr>#3413 Somerset Acad Boca East</vt:lpstr>
      <vt:lpstr>#3421 Worthington High School</vt:lpstr>
      <vt:lpstr> #3431 Renaissance CS @ WPB</vt:lpstr>
      <vt:lpstr>#3441 South Tech Preparatory A </vt:lpstr>
      <vt:lpstr>#3924 PB Maritime Academy HS </vt:lpstr>
      <vt:lpstr>#3941 Ben Gamla </vt:lpstr>
      <vt:lpstr>#3961 Gardens Schl Tech Arts</vt:lpstr>
      <vt:lpstr>#3971 Palm Beach Preparatory  </vt:lpstr>
      <vt:lpstr>#4000 Palms West Charter School</vt:lpstr>
      <vt:lpstr>#4001 Renaissance CS @ Welling </vt:lpstr>
      <vt:lpstr>#4002 Renaissance CS @ Summit </vt:lpstr>
      <vt:lpstr>#4012 Somerset Canyons Middle  </vt:lpstr>
      <vt:lpstr>#4013 Somerset Acad Canyons HS </vt:lpstr>
      <vt:lpstr>#4020 Franklin Academy "B" </vt:lpstr>
      <vt:lpstr>#4030 Olympus International Aca</vt:lpstr>
      <vt:lpstr>#4031 Somerset Academy of Arts</vt:lpstr>
      <vt:lpstr>#4041 Somerset Acad Boca Middle</vt:lpstr>
      <vt:lpstr>#4050 Renaissance CS @ Cypress</vt:lpstr>
      <vt:lpstr>#4051 Renaissance CS @ Central </vt:lpstr>
      <vt:lpstr>#4061 Franklin Academy - PBG</vt:lpstr>
      <vt:lpstr>#4080 University Prep Academy</vt:lpstr>
      <vt:lpstr>#4081 Florida Futures Academy N</vt:lpstr>
      <vt:lpstr>#4090 Sprts Leadership Mgmt</vt:lpstr>
      <vt:lpstr>#4091 Somerset Acad Lakes</vt:lpstr>
      <vt:lpstr>#4100 ConnectionsEd.CenterPB</vt:lpstr>
      <vt:lpstr>#4102 Bridge Prep Academy</vt:lpstr>
      <vt:lpstr>#4103 SLAM Boca MiddleHigh</vt:lpstr>
      <vt:lpstr>#4111 SLAM Academy High School</vt:lpstr>
      <vt:lpstr>#4121 South Tech Success</vt:lpstr>
      <vt:lpstr>' #3431 Renaissance CS @ WPB'!Print_Area</vt:lpstr>
      <vt:lpstr>'#0664 Academy Positive Learning'!Print_Area</vt:lpstr>
      <vt:lpstr>'#1461 Inlet Grove Comm. HS '!Print_Area</vt:lpstr>
      <vt:lpstr>'#1571 South Tech Academy'!Print_Area</vt:lpstr>
      <vt:lpstr>'#1571 South Tech Charter Acad'!Print_Area</vt:lpstr>
      <vt:lpstr>'#2521 Ed Venture '!Print_Area</vt:lpstr>
      <vt:lpstr>'#2531 Potentials '!Print_Area</vt:lpstr>
      <vt:lpstr>'#2791 The Learning Center @ Els'!Print_Area</vt:lpstr>
      <vt:lpstr>'#2801 Palm Beach Maritime Acad '!Print_Area</vt:lpstr>
      <vt:lpstr>'#2911 Western Academy'!Print_Area</vt:lpstr>
      <vt:lpstr>'#2941 Palm Beach School Autism '!Print_Area</vt:lpstr>
      <vt:lpstr>'#3083 The Learning Acad @ Els '!Print_Area</vt:lpstr>
      <vt:lpstr>'#3345 Gulfstream Goodwill Life '!Print_Area</vt:lpstr>
      <vt:lpstr>'#3381 Imagine Schools '!Print_Area</vt:lpstr>
      <vt:lpstr>'#3382 Glades Academy '!Print_Area</vt:lpstr>
      <vt:lpstr>'#3385 Bright Futures Academy '!Print_Area</vt:lpstr>
      <vt:lpstr>'#3386 Toussaint L''Ouverture '!Print_Area</vt:lpstr>
      <vt:lpstr>'#3391 Seagull Academy Ind. Liv'!Print_Area</vt:lpstr>
      <vt:lpstr>'#3394 Montessori Acad Early  '!Print_Area</vt:lpstr>
      <vt:lpstr>'#3395 Somerset Academy JFK '!Print_Area</vt:lpstr>
      <vt:lpstr>'#3396 G-Star of the Arts '!Print_Area</vt:lpstr>
      <vt:lpstr>'#3398 Everglades Preparatory '!Print_Area</vt:lpstr>
      <vt:lpstr>'#3400 Believers Academy '!Print_Area</vt:lpstr>
      <vt:lpstr>'#3401 Quantum High School '!Print_Area</vt:lpstr>
      <vt:lpstr>'#3413 Somerset Acad Boca East'!Print_Area</vt:lpstr>
      <vt:lpstr>'#3421 Worthington High School'!Print_Area</vt:lpstr>
      <vt:lpstr>'#3441 South Tech Preparatory A '!Print_Area</vt:lpstr>
      <vt:lpstr>'#3924 PB Maritime Academy HS '!Print_Area</vt:lpstr>
      <vt:lpstr>'#3941 Ben Gamla '!Print_Area</vt:lpstr>
      <vt:lpstr>'#3961 Gardens Schl Tech Arts'!Print_Area</vt:lpstr>
      <vt:lpstr>'#3971 Palm Beach Preparatory  '!Print_Area</vt:lpstr>
      <vt:lpstr>'#4000 Palms West Charter School'!Print_Area</vt:lpstr>
      <vt:lpstr>'#4001 Renaissance CS @ Welling '!Print_Area</vt:lpstr>
      <vt:lpstr>'#4002 Renaissance CS @ Summit '!Print_Area</vt:lpstr>
      <vt:lpstr>'#4012 Somerset Canyons Middle  '!Print_Area</vt:lpstr>
      <vt:lpstr>'#4013 Somerset Acad Canyons HS '!Print_Area</vt:lpstr>
      <vt:lpstr>'#4020 Franklin Academy "B" '!Print_Area</vt:lpstr>
      <vt:lpstr>'#4030 Olympus International Aca'!Print_Area</vt:lpstr>
      <vt:lpstr>'#4031 Somerset Academy of Arts'!Print_Area</vt:lpstr>
      <vt:lpstr>'#4041 Somerset Acad Boca Middle'!Print_Area</vt:lpstr>
      <vt:lpstr>'#4050 Renaissance CS @ Cypress'!Print_Area</vt:lpstr>
      <vt:lpstr>'#4051 Renaissance CS @ Central '!Print_Area</vt:lpstr>
      <vt:lpstr>'#4061 Franklin Academy - PBG'!Print_Area</vt:lpstr>
      <vt:lpstr>'#4080 University Prep Academy'!Print_Area</vt:lpstr>
      <vt:lpstr>'#4081 Florida Futures Academy N'!Print_Area</vt:lpstr>
      <vt:lpstr>'#4090 Sprts Leadership Mgmt'!Print_Area</vt:lpstr>
      <vt:lpstr>'#4091 Somerset Acad Lakes'!Print_Area</vt:lpstr>
      <vt:lpstr>'#4100 ConnectionsEd.CenterPB'!Print_Area</vt:lpstr>
      <vt:lpstr>'#4102 Bridge Prep Academy'!Print_Area</vt:lpstr>
      <vt:lpstr>'#4103 SLAM Boca MiddleHigh'!Print_Area</vt:lpstr>
      <vt:lpstr>'#4111 SLAM Academy High School'!Print_Area</vt:lpstr>
      <vt:lpstr>'#4121 South Tech Success'!Print_Area</vt:lpstr>
    </vt:vector>
  </TitlesOfParts>
  <Company>School District Of Palm Beach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kovners</dc:creator>
  <cp:lastModifiedBy>Richard Oglenski</cp:lastModifiedBy>
  <cp:lastPrinted>2021-08-09T15:46:24Z</cp:lastPrinted>
  <dcterms:created xsi:type="dcterms:W3CDTF">2009-12-03T15:07:28Z</dcterms:created>
  <dcterms:modified xsi:type="dcterms:W3CDTF">2021-08-11T13:14:13Z</dcterms:modified>
</cp:coreProperties>
</file>